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425" activeTab="6"/>
  </bookViews>
  <sheets>
    <sheet name="30.sz.mell. Beruházások" sheetId="1" r:id="rId1"/>
    <sheet name="31.sz.mell. Felh.átadott pe" sheetId="2" r:id="rId2"/>
    <sheet name="32.sz.mell. Műk. tám I." sheetId="3" r:id="rId3"/>
    <sheet name="33.sz.mell. Műk. tám II." sheetId="4" r:id="rId4"/>
    <sheet name="34.sz.mell. Tartalékok" sheetId="5" r:id="rId5"/>
    <sheet name="35.sz.mell. Szociális" sheetId="6" r:id="rId6"/>
    <sheet name="36.sz.mell. Intézm.fin." sheetId="7" r:id="rId7"/>
    <sheet name="37.sz.mell.Felújítások" sheetId="8" r:id="rId8"/>
    <sheet name="38. sz.mell.Normatíva" sheetId="9" r:id="rId9"/>
  </sheets>
  <externalReferences>
    <externalReference r:id="rId12"/>
  </externalReferences>
  <definedNames>
    <definedName name="felev">#REF!</definedName>
    <definedName name="funkcio">#REF!</definedName>
    <definedName name="Igenyles_elszamolas_tip">#REF!</definedName>
    <definedName name="iiiiii">#REF!</definedName>
    <definedName name="jjj">#REF!</definedName>
    <definedName name="kkkk">#REF!</definedName>
    <definedName name="koltseg_k">#REF!</definedName>
    <definedName name="Koltseg_kat">#REF!</definedName>
    <definedName name="_xlnm.Print_Titles" localSheetId="0">'30.sz.mell. Beruházások'!$A:$I,'30.sz.mell. Beruházások'!$1:$9</definedName>
    <definedName name="_xlnm.Print_Area" localSheetId="0">'30.sz.mell. Beruházások'!$A$1:$AE$124</definedName>
    <definedName name="_xlnm.Print_Area" localSheetId="1">'31.sz.mell. Felh.átadott pe'!$A$1:$W$21</definedName>
    <definedName name="_xlnm.Print_Area" localSheetId="2">'32.sz.mell. Műk. tám I.'!$A$1:$H$22</definedName>
    <definedName name="_xlnm.Print_Area" localSheetId="3">'33.sz.mell. Műk. tám II.'!$A$1:$K$163</definedName>
    <definedName name="_xlnm.Print_Area" localSheetId="4">'34.sz.mell. Tartalékok'!$A$1:$H$67</definedName>
    <definedName name="_xlnm.Print_Area" localSheetId="5">'35.sz.mell. Szociális'!$A$1:$S$25</definedName>
    <definedName name="_xlnm.Print_Area" localSheetId="6">'36.sz.mell. Intézm.fin.'!$A$1:$M$17</definedName>
    <definedName name="oooooooooooo">#REF!</definedName>
    <definedName name="pppppp">#REF!</definedName>
    <definedName name="qqqqq">#REF!</definedName>
    <definedName name="rrrrrrrrrrr">#REF!</definedName>
    <definedName name="Szamviteli_kat">#REF!</definedName>
  </definedNames>
  <calcPr fullCalcOnLoad="1"/>
</workbook>
</file>

<file path=xl/sharedStrings.xml><?xml version="1.0" encoding="utf-8"?>
<sst xmlns="http://schemas.openxmlformats.org/spreadsheetml/2006/main" count="1465" uniqueCount="649">
  <si>
    <t>Kormányzati funkció száma és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</si>
  <si>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</si>
  <si>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</si>
  <si>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</si>
  <si>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</si>
  <si>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</si>
  <si>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</si>
  <si>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</si>
  <si>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</si>
  <si>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</si>
  <si>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</si>
  <si>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</si>
  <si>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Dunaharaszti Mese Óvoda</t>
  </si>
  <si>
    <t>Dunaharaszti Gyermekjóléti- és Családsegítő Szolgálat</t>
  </si>
  <si>
    <t>Dunaharaszti Városi Bölcsőde</t>
  </si>
  <si>
    <t>Dunaharaszti Városi Könyvtár és József Attila Művelődési Ház</t>
  </si>
  <si>
    <t>Dunaharaszti Város Önkormányzat</t>
  </si>
  <si>
    <t>Finanszírozási kiadások</t>
  </si>
  <si>
    <t>adatok e Ft-ban</t>
  </si>
  <si>
    <t>sorszám</t>
  </si>
  <si>
    <t>keretgazda</t>
  </si>
  <si>
    <t>Megnevezés</t>
  </si>
  <si>
    <t>Feladat típusa</t>
  </si>
  <si>
    <t>működési</t>
  </si>
  <si>
    <t>felhalmozási</t>
  </si>
  <si>
    <t>Polgármesteri Hivatal</t>
  </si>
  <si>
    <t>Dunaharaszti Területi Gondozási Központ</t>
  </si>
  <si>
    <t>Mindösszesen</t>
  </si>
  <si>
    <t xml:space="preserve">K - 915. Központi, irányítószervi támogatás folyósítása </t>
  </si>
  <si>
    <t>Dunaharaszti Hétszínvirág Óvoda</t>
  </si>
  <si>
    <t>Ellátottak pénzbeli juttatásai</t>
  </si>
  <si>
    <t xml:space="preserve">Sorszám </t>
  </si>
  <si>
    <t>Szociális ellátások, támogatások</t>
  </si>
  <si>
    <r>
      <t xml:space="preserve">Ápolási díj </t>
    </r>
    <r>
      <rPr>
        <sz val="16"/>
        <rFont val="Garamond"/>
        <family val="1"/>
      </rPr>
      <t>Szt. 43/B.§ (helyi megállapítás)</t>
    </r>
  </si>
  <si>
    <t>kötelező</t>
  </si>
  <si>
    <r>
      <t xml:space="preserve">Átmeneti segély </t>
    </r>
    <r>
      <rPr>
        <sz val="16"/>
        <rFont val="Garamond"/>
        <family val="1"/>
      </rPr>
      <t>Szt. 45.§</t>
    </r>
  </si>
  <si>
    <r>
      <t>Temetési segély</t>
    </r>
    <r>
      <rPr>
        <sz val="16"/>
        <rFont val="Garamond"/>
        <family val="1"/>
      </rPr>
      <t xml:space="preserve"> Szt. 46.§</t>
    </r>
  </si>
  <si>
    <r>
      <t>Rendkívüli gyermekvédelmi támogatás</t>
    </r>
    <r>
      <rPr>
        <sz val="16"/>
        <rFont val="Garamond"/>
        <family val="1"/>
      </rPr>
      <t xml:space="preserve"> Gyvt.21.§(helyi megállapítás)</t>
    </r>
  </si>
  <si>
    <t>Hátrányos helyzetű gyermekek üdültetése, szabadidős program szervezése</t>
  </si>
  <si>
    <t>önként vállalt</t>
  </si>
  <si>
    <r>
      <t>Gyermekétkeztetés</t>
    </r>
    <r>
      <rPr>
        <sz val="16"/>
        <rFont val="Garamond"/>
        <family val="1"/>
      </rPr>
      <t xml:space="preserve"> támogatása méltányossági alapon Szt. 62.§</t>
    </r>
  </si>
  <si>
    <t>Ételallergiában szenvedő, tartósan beteg gyermekek étkeztetése</t>
  </si>
  <si>
    <t>Krízis helyzet + egyéb szociális célú támogatás</t>
  </si>
  <si>
    <t>Gyógyászati segédeszköz</t>
  </si>
  <si>
    <r>
      <t xml:space="preserve">Köztemetés </t>
    </r>
    <r>
      <rPr>
        <sz val="16"/>
        <rFont val="Garamond"/>
        <family val="1"/>
      </rPr>
      <t>Szt. 48.§</t>
    </r>
  </si>
  <si>
    <t>Rovatrend száma</t>
  </si>
  <si>
    <t>101150 Betegséggel kapcsolatos pénzbeli ellátások</t>
  </si>
  <si>
    <t>107060 Egyes szociális pénzbeli és természetbeni ellátások, támogatások</t>
  </si>
  <si>
    <t>103010 Elhunyt személyek hátramaradottainak pénzbeli ellátásai</t>
  </si>
  <si>
    <t>104051 Gyermekvédelmi pénzbeli és természetbeni ellátások</t>
  </si>
  <si>
    <t>Összesen</t>
  </si>
  <si>
    <t>Szociális feladatok összesen:</t>
  </si>
  <si>
    <r>
      <t xml:space="preserve">Közgyógyellátás </t>
    </r>
    <r>
      <rPr>
        <sz val="16"/>
        <rFont val="Garamond"/>
        <family val="1"/>
      </rPr>
      <t>(méltányossági alapon)</t>
    </r>
  </si>
  <si>
    <t>Szemétdíj átvállalás rászorultság szerint és egyszeri eszköz vásárlás</t>
  </si>
  <si>
    <t>K - 42</t>
  </si>
  <si>
    <t>K-44</t>
  </si>
  <si>
    <t>K-48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</si>
  <si>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</si>
  <si>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</si>
  <si>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</si>
  <si>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</si>
  <si>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</si>
  <si>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</si>
  <si>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</si>
  <si>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</si>
  <si>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</si>
  <si>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Beruházási kiadások</t>
  </si>
  <si>
    <t>Sorszám</t>
  </si>
  <si>
    <t>Részgazda</t>
  </si>
  <si>
    <t>Kormányzati funkció</t>
  </si>
  <si>
    <t>Beru-házási kód</t>
  </si>
  <si>
    <t>Teljes költség (áfával)</t>
  </si>
  <si>
    <t>Várható tény 2013. XII. 31-ig</t>
  </si>
  <si>
    <t>ebből: immaterális javak</t>
  </si>
  <si>
    <t>ebből: ingatlan</t>
  </si>
  <si>
    <t>ebből: informatikai eszközök</t>
  </si>
  <si>
    <t>ebből:egyéb tárgyi eszközök</t>
  </si>
  <si>
    <t>ebből : áfa</t>
  </si>
  <si>
    <t>2014. évi ütem forrásai</t>
  </si>
  <si>
    <t>Halasztott</t>
  </si>
  <si>
    <t>összesen</t>
  </si>
  <si>
    <t>saját forrás</t>
  </si>
  <si>
    <t>EU-s pályázat</t>
  </si>
  <si>
    <t>hitelfelvétel</t>
  </si>
  <si>
    <t>Címrend</t>
  </si>
  <si>
    <t>K-61</t>
  </si>
  <si>
    <t>K-62</t>
  </si>
  <si>
    <t>K-63</t>
  </si>
  <si>
    <t>K-64</t>
  </si>
  <si>
    <t>K-67</t>
  </si>
  <si>
    <t>A/I. Önkormányzat: Európai Uniós kiadások</t>
  </si>
  <si>
    <t>Szivárvány Óvoda építése</t>
  </si>
  <si>
    <t>Szivárvány Óvoda építése (eu forrásból)</t>
  </si>
  <si>
    <t>A/I. Önkormányzat: Európai Uniós kiadások összesen:</t>
  </si>
  <si>
    <t>A/II.  Önkormányzat: Út-, járdaépítés</t>
  </si>
  <si>
    <t>Gyóni G.u.útépítés</t>
  </si>
  <si>
    <t>Dankó P.u.útépítés</t>
  </si>
  <si>
    <t>Bartók B.u.útépítés</t>
  </si>
  <si>
    <t>Bem u.útépítés</t>
  </si>
  <si>
    <t>Apponyi A.u.útépítés</t>
  </si>
  <si>
    <t>Babits M.u.útépítés</t>
  </si>
  <si>
    <t>Csokonai u.útépítés</t>
  </si>
  <si>
    <t>Las Torres u.útépítés</t>
  </si>
  <si>
    <t>65/2013.(VI.24.) sz.Kt.hat. Alapján Bezerédi utcában építendő csapadék csatorna és utca útépítés</t>
  </si>
  <si>
    <t>A/II.  Önkormányzat: Út-, járdaépítés összesen:</t>
  </si>
  <si>
    <t>A/III.  Önkormányzat: Szennyvíz, csapadékvíz, ivóvíz beruházások</t>
  </si>
  <si>
    <t>Gyóni G.u.csapadékvíz elvezetés</t>
  </si>
  <si>
    <t>Dankó P.u.+ köz (zárt)csapadékvíz elvezetés</t>
  </si>
  <si>
    <t>Bartók B.u.csapadékvíz elvezetés</t>
  </si>
  <si>
    <t>Bem u.csapadékvíz elvezetés</t>
  </si>
  <si>
    <t>Apponyi A.u.csapadékvíz elvezetés</t>
  </si>
  <si>
    <t>Babits M.u.csapadékvíz elvezetés</t>
  </si>
  <si>
    <t>Csokonai u.csapadékvíz elvezetés</t>
  </si>
  <si>
    <t>Las Torres u.csapadékvíz elvezetés</t>
  </si>
  <si>
    <t>Zöldfa u.(Szőlőhegy u. és Magyar u. között) burkolt vízelvezető árok kiépítése</t>
  </si>
  <si>
    <t>Földvári u.csapadékvíz átépítése</t>
  </si>
  <si>
    <t>A/III.  Önkormányzat: Szennyvíz, csapadékvíz, ivóvíz beruházások összesen</t>
  </si>
  <si>
    <t>A/IV.  Önkormányzat: Városgazdálkodási feladatok</t>
  </si>
  <si>
    <t xml:space="preserve">Petőfi szobor és posztanens </t>
  </si>
  <si>
    <t>Környezeti fenntarthatósághoz kapcsolódó feladatok, tervek</t>
  </si>
  <si>
    <t>Környezetvédelmi program, hulladékgazdálkodási terv aktualizálása</t>
  </si>
  <si>
    <t>Zajtérkép intézkedési terv aktualizálása</t>
  </si>
  <si>
    <t>Táncsics u.-Némedi u. kereszteződésében közvilágítás átépítése</t>
  </si>
  <si>
    <t>Városi szintű úthálózat felmérés, értékfelmérés, digitalizálás</t>
  </si>
  <si>
    <t>Településrendezési terv készítése, engedélyeztetése</t>
  </si>
  <si>
    <t>A/IV.  Önkormányzat: városgazdálkodási feladat összesen:</t>
  </si>
  <si>
    <t>A/V.  Önkormányzat: Ingatlan fejlesztések</t>
  </si>
  <si>
    <t>A/V.  Önkormányzat: Ingatlan fejl. kiadások összesen:</t>
  </si>
  <si>
    <t>A/VI.  Önkormányzat: Egyéb beruházások</t>
  </si>
  <si>
    <t>Toyota Proance, új autó városüzemeltetéshez</t>
  </si>
  <si>
    <t>Közvilágítás bővítése lakossági igény szerint</t>
  </si>
  <si>
    <t>Kegyeleti parkban térvilágítás átépítése új szabvány szerint</t>
  </si>
  <si>
    <t>A/VI.  Önkormányzat: egyéb beruházások összesen:</t>
  </si>
  <si>
    <t>A. Önkormányzat mindösszesen:</t>
  </si>
  <si>
    <t>B.  Polgármesteri Hivatal kiadásai</t>
  </si>
  <si>
    <t>011130</t>
  </si>
  <si>
    <t>Polgármesteri Hivatal informatikai fejlesztések</t>
  </si>
  <si>
    <t>Külső irattár kialakításának befejezése</t>
  </si>
  <si>
    <t>B.  Polgármesteri Hivatal kiadásai összesen:</t>
  </si>
  <si>
    <t>C. Intézményi kör kiadásai</t>
  </si>
  <si>
    <t>C. Intézményi kör kiadásai összesen</t>
  </si>
  <si>
    <t>Önkormányzati kötelező feladat összesen</t>
  </si>
  <si>
    <t>Önkormányzati önként vállalt feladat összesen</t>
  </si>
  <si>
    <t>Államigazgatási feladat összesen</t>
  </si>
  <si>
    <t>Felhalmozási pénzeszköz átadások, kölcsönök, lakástámogatás</t>
  </si>
  <si>
    <t>066020 Város-és községgazdálkodási egyéb szolgáltatás</t>
  </si>
  <si>
    <t>061030 Lakáshoz jutást segítő támogatások</t>
  </si>
  <si>
    <t>084040 Egyházak közösségi és hitéleti tevékenységének támogatása</t>
  </si>
  <si>
    <t>011130 Önkormányzatok és önkorm.hivatalok igazgatási tevékenysége</t>
  </si>
  <si>
    <t>A.  Önkormányzat</t>
  </si>
  <si>
    <t>K-88</t>
  </si>
  <si>
    <t>Lakossági járdaépítés költsége</t>
  </si>
  <si>
    <t>K-87</t>
  </si>
  <si>
    <t>Felhalmozási c.pe átad lakosságnak: Első lakáshoz jutók támogatása</t>
  </si>
  <si>
    <t>K-84</t>
  </si>
  <si>
    <t>Szigetszentmiklósi Tűzoltóság eszközfejlesztés támogatása</t>
  </si>
  <si>
    <t>Szigetszentmiklósi Szakorvosi rendelő eszközpark korszerűsítés</t>
  </si>
  <si>
    <t>Dunaharaszti Református Egyházközség új templomépítésének támogatása</t>
  </si>
  <si>
    <t>A.  Önkormányzat mindösszesen</t>
  </si>
  <si>
    <t>B.  Polgármesteri Hivatal</t>
  </si>
  <si>
    <t>K-86</t>
  </si>
  <si>
    <t>Felhalmozási célú kölcsön nyújtása munkavállalónak</t>
  </si>
  <si>
    <t>B.  Polgármesteri Hivatal összesen</t>
  </si>
  <si>
    <t>C. Intézményi kör</t>
  </si>
  <si>
    <t>C. Intézményi kör összesen</t>
  </si>
  <si>
    <t>Működési célú támogatások</t>
  </si>
  <si>
    <t>Egyéb működési célú támogatások államháztartáson kívülre</t>
  </si>
  <si>
    <t>K-511</t>
  </si>
  <si>
    <t>081030</t>
  </si>
  <si>
    <t xml:space="preserve">DMTK szakosztályainak műk.célú támogatása </t>
  </si>
  <si>
    <t>DMTK sportpálya rezsi kiadások támogatása</t>
  </si>
  <si>
    <t>081041</t>
  </si>
  <si>
    <t xml:space="preserve">DMTK szakosztályainak műk.célú tám. átvállalt terembérlet Műv.Ház+intézményi </t>
  </si>
  <si>
    <t>DMTK támogatása mindösszesen:</t>
  </si>
  <si>
    <t>Működési célú támogatások és közvetett támogatások</t>
  </si>
  <si>
    <t>Egyéb működési célú támogatások államháztartáson belülre</t>
  </si>
  <si>
    <t>K-506</t>
  </si>
  <si>
    <t>I. Civil szervezetek működési támogatása</t>
  </si>
  <si>
    <t xml:space="preserve">KisDuna TV támogatása </t>
  </si>
  <si>
    <t>Önként vállalt</t>
  </si>
  <si>
    <t>Mozgáskorlátozottak Egyesületének internet kiadások támogatása</t>
  </si>
  <si>
    <t>Dunaharaszti Vöröskereszt szervezetének támogatása</t>
  </si>
  <si>
    <t>Ügyeleti Szolgálat (Haraszti Fraxinus Kft) támogatása bérkiegészítés támogatása (ügyeleti szolgálat OEP finanszírozás kiegészítése átkerült 2/d 13. sorába)</t>
  </si>
  <si>
    <t>022010</t>
  </si>
  <si>
    <t>Polgárőr Egyesület működési költség támogatása</t>
  </si>
  <si>
    <t>Pest megyei Katasztrófavédelmi Igazgatóság támogatása</t>
  </si>
  <si>
    <t>045140</t>
  </si>
  <si>
    <t>IV. Városi és elővárosi közúti személyszállítás</t>
  </si>
  <si>
    <t>Helyi tömegközlekedés támogatása (alapfeladat és éjszakai járat)</t>
  </si>
  <si>
    <t xml:space="preserve">BURSA-HUNGARICA ösztöndíj pályázat </t>
  </si>
  <si>
    <t>084060</t>
  </si>
  <si>
    <t>Pedagógus üdülő fenntartásának támogatása</t>
  </si>
  <si>
    <t>Pénzeszköz átadás összesen</t>
  </si>
  <si>
    <t>Dunaharaszti Nemzetiségi Önkormányzatok részére nyújtott támogatás államháztartáson belül</t>
  </si>
  <si>
    <t>Támogatásértékű működési kiadás</t>
  </si>
  <si>
    <t xml:space="preserve">Működési célú pénzeszköz átadás államháztartáson kívülre </t>
  </si>
  <si>
    <t>Bolgár Nemzetiségi Önkormányzat</t>
  </si>
  <si>
    <t>Lengyel Nemzetiségi Önkormányzat</t>
  </si>
  <si>
    <t>Német Nemzetiségi Önkormányzat</t>
  </si>
  <si>
    <t>Roma Nemzetiségi Önkormányzat</t>
  </si>
  <si>
    <t xml:space="preserve">Dunaharaszti Önkormányzat közvetett támogatásainak részletezése 2013. évben a 368/2011. (XII.31.) Korm. 28 §-a szerint , amelyről rendelkezik az Áht. 24 § (4) bekezdés c) pontja </t>
  </si>
  <si>
    <t>a)  ellátottak térítési díjának,  kártérítésének méltányossági alapon történő elengedésének összege</t>
  </si>
  <si>
    <t>Szervezet neve</t>
  </si>
  <si>
    <t>Működési célú pénzeszköz átadás államháztartáson kívülre</t>
  </si>
  <si>
    <t>Szociális (Gondozási Központ)</t>
  </si>
  <si>
    <t>Szociális (Városi Bölcsőde)</t>
  </si>
  <si>
    <t>Közoktatás</t>
  </si>
  <si>
    <t>Összesen:</t>
  </si>
  <si>
    <t>b)  lakosság részére lakásépítéshez, lakásfelújításhoz nyújtott kölcsönök elengedésének összege nemleges</t>
  </si>
  <si>
    <t xml:space="preserve">c)  a helyi adónál, gépjárműadónál biztosított kedvezmény, mentesség összege adónemenként </t>
  </si>
  <si>
    <t>Adóneme</t>
  </si>
  <si>
    <t>Építményadó</t>
  </si>
  <si>
    <t>Telekadó</t>
  </si>
  <si>
    <t>Kommunális adó</t>
  </si>
  <si>
    <t>Iparűzési adó</t>
  </si>
  <si>
    <t>Gépjárműadó</t>
  </si>
  <si>
    <t>Késedelmi pótlék</t>
  </si>
  <si>
    <t>Bírság</t>
  </si>
  <si>
    <r>
      <t>d)</t>
    </r>
    <r>
      <rPr>
        <b/>
        <sz val="16"/>
        <color indexed="8"/>
        <rFont val="Times New Roman"/>
        <family val="1"/>
      </rPr>
      <t xml:space="preserve">  a </t>
    </r>
    <r>
      <rPr>
        <b/>
        <sz val="16"/>
        <color indexed="8"/>
        <rFont val="Garamond"/>
        <family val="1"/>
      </rPr>
      <t>helyiségek, eszközök hasznosításából származó bevételből nyújtott kedvezmény, mentesség összege</t>
    </r>
  </si>
  <si>
    <t>I. Közterület rendjének fenntartása</t>
  </si>
  <si>
    <t>e) az egyéb nyújtott kedvezmény vagy kölcsön elengedésének összege nemleges</t>
  </si>
  <si>
    <t xml:space="preserve">900070  Általános- és céltartalékok </t>
  </si>
  <si>
    <t>Halasztott összeg</t>
  </si>
  <si>
    <t>Rendelkezési jogosultság</t>
  </si>
  <si>
    <t>Felhalmozási tartalékok</t>
  </si>
  <si>
    <t xml:space="preserve">I.  Útépítések, víz, csapadékvíz elvezetések céltartalék </t>
  </si>
  <si>
    <t>Útépítés és csapadékvíz elvezetés, eljárási díjak, pályázati, műszaki ellenőrzés, labor, előkészítés, tervezés és egyéb előre nem látható költség</t>
  </si>
  <si>
    <t>Polgármester</t>
  </si>
  <si>
    <t>Útépítés és csapadékvíz elvezetés előkészítés, tervezési díjak 136/2012. (XI.26.) sz. Kt. hat.</t>
  </si>
  <si>
    <t>2014. évben útépítésre tervezett utcák vízelvezetésének tervezése, üzemeltetési engedélyek beszerzése</t>
  </si>
  <si>
    <t>Útépítések, víz, csapadékvíz elvezetések céltartalék összesen :</t>
  </si>
  <si>
    <t xml:space="preserve">II. Városgazdálkodás céltartalékai </t>
  </si>
  <si>
    <t>Városgazdálkodás céltartalékai összesen:</t>
  </si>
  <si>
    <t>III.  Finanszírozott kör céltartaléka (Polgármesteri Hivatal és intézmények)</t>
  </si>
  <si>
    <t>Finanszírozott kör céltartaléka összesen:</t>
  </si>
  <si>
    <t>IV. Egyéb feladatok</t>
  </si>
  <si>
    <t>Képviselő-testület</t>
  </si>
  <si>
    <t xml:space="preserve"> Egyéb feladatok céltartaléka összesen:</t>
  </si>
  <si>
    <t>Felhalmozási tartalékok összesen:</t>
  </si>
  <si>
    <t>Működési célú tartalékok</t>
  </si>
  <si>
    <t xml:space="preserve">I. Támogatások </t>
  </si>
  <si>
    <t>Civil szervezetek, egyházak támogatása (Művészeti,oktatási,kulturális) és helyi DMTK keretein kívül működő egyéb sportok támogatása</t>
  </si>
  <si>
    <t xml:space="preserve">Alapítványok támogatása </t>
  </si>
  <si>
    <t>Oktatási, Művelődési és Sport Bizottság</t>
  </si>
  <si>
    <t>Városi sport- és kulturális rendezvények kiadásainak finanszírozási kerete</t>
  </si>
  <si>
    <t>Támogatások céltartaléka összesen:</t>
  </si>
  <si>
    <t>II. Önkormányzati feladatok</t>
  </si>
  <si>
    <t>önként</t>
  </si>
  <si>
    <t>Közbeszerzési költségek</t>
  </si>
  <si>
    <t>Önkormányzati feladatok céltartaléka összesen:</t>
  </si>
  <si>
    <t xml:space="preserve">Kitüntető díjak adományozása </t>
  </si>
  <si>
    <t>Intézményeknél  selejt eszközök cseréje</t>
  </si>
  <si>
    <t>Intézményvezetők jutalmazási kerete</t>
  </si>
  <si>
    <t>Nyári napközis tábor kiadásai (3 ált.isk.együtt)</t>
  </si>
  <si>
    <t>Oktatási- nevelési intézmények kulturális programjának támogatása (Mikulás ünnepség, Karácsonyi ünnepség, szavalóverseny stb)</t>
  </si>
  <si>
    <t>Köztisztviselők felmentése, végkielégítése</t>
  </si>
  <si>
    <t>Törvény által kötelezően kifizetendő jubileumi jutalom</t>
  </si>
  <si>
    <t xml:space="preserve">IV. Általános tartalék   </t>
  </si>
  <si>
    <t>Polgármester rendelkezése</t>
  </si>
  <si>
    <t>Általános tartalék összesen</t>
  </si>
  <si>
    <t>Működési tartalék összesen:</t>
  </si>
  <si>
    <t>045120 Út, autópálya építése</t>
  </si>
  <si>
    <t>045160 Közutak, hidak, alagutak üzemeltetése, fenntartása</t>
  </si>
  <si>
    <t xml:space="preserve"> 091140 Óvodai nevelés, ellátás működtetési feladatai</t>
  </si>
  <si>
    <t>1.a</t>
  </si>
  <si>
    <t>1.b</t>
  </si>
  <si>
    <t>052080 Szennyvíz-csatorna építése, fenntartása, üzemeltetése</t>
  </si>
  <si>
    <t>051040 Nem veszélyes hulladék kezelése, ártalmatlanítása</t>
  </si>
  <si>
    <t>064010 Közvilágítás</t>
  </si>
  <si>
    <t>011130 Önkormányzatok és önkorm-i hivatalok jogalk. és ált. igazg-i tev-e</t>
  </si>
  <si>
    <t>II. Versenysport- és utánpótlás-nevelési tevékenység és támogatása</t>
  </si>
  <si>
    <t>II. Polgári honvédelem ágazati feladatai, a lakosság felkészítése</t>
  </si>
  <si>
    <t>084031</t>
  </si>
  <si>
    <t>III. Önkormányzatok és önkormányzati hivatalok jogalkotó és általános igazgatási tevékenysége</t>
  </si>
  <si>
    <t>VI. Érdekképviseleti, szakszervezeti tevékenységek támogatása</t>
  </si>
  <si>
    <t>094260</t>
  </si>
  <si>
    <t>V. Hallgatói és oktatói ösztöndíjak, egyéb juttatások</t>
  </si>
  <si>
    <t>011140 Országos és helyi nemzetiségi önkormányzatok igazgatási tevékenysége</t>
  </si>
  <si>
    <t>Közúti káresemények térítése</t>
  </si>
  <si>
    <t>K-43</t>
  </si>
  <si>
    <t>Bólyai F.u.csapadékvíz elvezetés és út helyreállítás</t>
  </si>
  <si>
    <t>Járdaépítés közterületen</t>
  </si>
  <si>
    <t>Ingatlanvásárlás</t>
  </si>
  <si>
    <t>ezer Ft-ban</t>
  </si>
  <si>
    <t>Polgárőrök részére Dacia Duster vásárlás</t>
  </si>
  <si>
    <t>Beruházások összesen</t>
  </si>
  <si>
    <t>066010          Zöldterület-kezelés</t>
  </si>
  <si>
    <t xml:space="preserve">kötelező </t>
  </si>
  <si>
    <t>Ellátott feladat típusa</t>
  </si>
  <si>
    <t>Civil szervezetek, egyházak támogatása (Művészeti,oktatási,kulturális év közben belépő feladatok)</t>
  </si>
  <si>
    <t>Dózsa u. 26. szám alatti ingatlan akadálymentesítési munkái</t>
  </si>
  <si>
    <t>Játszótér építése</t>
  </si>
  <si>
    <t>Útépítések pótmunka kerete</t>
  </si>
  <si>
    <t>MÁV alsó területrendezés, közművesítés előkészítése és területvásárlás</t>
  </si>
  <si>
    <t>I. Sportlétesítmények, edzőtáborok működtetése és fejlesztése</t>
  </si>
  <si>
    <t>Határ úti vasúti átjáró átépítése gyalogosforgalom részére</t>
  </si>
  <si>
    <t>Dunaharaszti Gyermekjóléti- és Családsegítő Szolgálat beruházásai</t>
  </si>
  <si>
    <t>Dunaharaszti Városi Könyvtár és József Attila Művelődési Ház beruházásai</t>
  </si>
  <si>
    <t>Dunaharaszti Hétszínvirág Óvoda beruházásai</t>
  </si>
  <si>
    <t>Dunaharaszti Mese Óvoda beruházásai</t>
  </si>
  <si>
    <t>Dunaharaszti Területi Gondozási Központ beruházásai</t>
  </si>
  <si>
    <t>Dunaharaszti Városi Bölcsőde beruházásai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</si>
  <si>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</si>
  <si>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</si>
  <si>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</si>
  <si>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</si>
  <si>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</si>
  <si>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</si>
  <si>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</si>
  <si>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</si>
  <si>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</si>
  <si>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</si>
  <si>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</si>
  <si>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</si>
  <si>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</si>
  <si>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</si>
  <si>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</si>
  <si>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Intézményi ingatlanok különféle karbantartásainak kerete (vihar, eü.festés, mázolás) </t>
  </si>
  <si>
    <t>011220 Adó, vám és jövedéki igazgatás</t>
  </si>
  <si>
    <t>Módosított előirányzat</t>
  </si>
  <si>
    <t>Tartalék összege</t>
  </si>
  <si>
    <t>2014. eredeti előirányzat</t>
  </si>
  <si>
    <t>Eredeti előirányzat</t>
  </si>
  <si>
    <t>Cím azonosító</t>
  </si>
  <si>
    <t>085</t>
  </si>
  <si>
    <t>066020 Város-, községgazdálkodási egyéb szolgáltatások</t>
  </si>
  <si>
    <t>003</t>
  </si>
  <si>
    <t>054</t>
  </si>
  <si>
    <t>002</t>
  </si>
  <si>
    <t>001</t>
  </si>
  <si>
    <t>008</t>
  </si>
  <si>
    <t>005</t>
  </si>
  <si>
    <t>Dózsa György u.nagy méretű vízáteresztő *</t>
  </si>
  <si>
    <t>Sétánypark építése*</t>
  </si>
  <si>
    <t>*ezeknek a tételeknek a megvalósulásának a feltétele a 100 millió forint értékű konténer iskolához kapcsolódó hitelfelvételhez történő kormányzati hozzájárulás</t>
  </si>
  <si>
    <t>*ezeknek a tételeknek az összege a 100 millió forint értékű konténer iskolához kapcsolódó hitelfelvételhez történő kormányzati hozzájárulás függvénye</t>
  </si>
  <si>
    <t>Képviselő-testület rendelkezése* (hitel engedély függvénye: 7.000)</t>
  </si>
  <si>
    <t>Normatíva felülvizsgálat tartalék* (hitel engedély függvénye: 5.000)</t>
  </si>
  <si>
    <t>Útfenntartás rendkívüli kiadásai* (hitel engedély függvénye: 13.000)</t>
  </si>
  <si>
    <t xml:space="preserve">Városgazdálkodás: üzemeltetés, karbantartás biztonsági tartalék </t>
  </si>
  <si>
    <t>013350</t>
  </si>
  <si>
    <t>007</t>
  </si>
  <si>
    <t>004</t>
  </si>
  <si>
    <t>049</t>
  </si>
  <si>
    <t>079</t>
  </si>
  <si>
    <t>090</t>
  </si>
  <si>
    <t>055</t>
  </si>
  <si>
    <t>053</t>
  </si>
  <si>
    <t>078</t>
  </si>
  <si>
    <t>080</t>
  </si>
  <si>
    <t>083</t>
  </si>
  <si>
    <t>081</t>
  </si>
  <si>
    <t>075</t>
  </si>
  <si>
    <t>076</t>
  </si>
  <si>
    <t>077</t>
  </si>
  <si>
    <t>082</t>
  </si>
  <si>
    <t>087</t>
  </si>
  <si>
    <t>088</t>
  </si>
  <si>
    <t>Út beruházások tartaléka</t>
  </si>
  <si>
    <t>Kötött támogatások forrása: bérkompenzáció, ágazati pótlék</t>
  </si>
  <si>
    <t>Határ úti buszmegálló építése</t>
  </si>
  <si>
    <t>Klíma miatti csatlakozási díj</t>
  </si>
  <si>
    <t>013320 Köztemető-fenntartás és -működtetés</t>
  </si>
  <si>
    <t>Temető parcellaterv, interkaktív térképes nyilvántartó rendszer bővítése</t>
  </si>
  <si>
    <t>2011/CIMP/068 Commenius Iskola Együttműködés</t>
  </si>
  <si>
    <t>BEG Commenius Pályázat</t>
  </si>
  <si>
    <t>Elkülönített bérlakás számla</t>
  </si>
  <si>
    <t>Elkülönített víziközmű számla</t>
  </si>
  <si>
    <t>Elkülönített parkolóhely megváltás számla</t>
  </si>
  <si>
    <t>Felújítási kiadások</t>
  </si>
  <si>
    <t>Felújítások összesen</t>
  </si>
  <si>
    <t>A/I. Önkormányzat: összesen:</t>
  </si>
  <si>
    <t>A/I. Önkormányzat</t>
  </si>
  <si>
    <t>Városi Bölcsőde felújítás</t>
  </si>
  <si>
    <t>7/a</t>
  </si>
  <si>
    <t>Zöldfa u. 39.ing. NKÖ Tájház vásárlás</t>
  </si>
  <si>
    <t>092120 Köznevelési intézmény 5–8. évfolyamán tanulók nevelésével, oktatásával összefüggő működtetési feladatok</t>
  </si>
  <si>
    <t>II. Rákóczi Ferenc Általános Iskola kerítés építés</t>
  </si>
  <si>
    <t>Kőrösi Csoma Sándor Általános Iskola beruházások</t>
  </si>
  <si>
    <t>092260 Gimnázium és szakképző iskola tanulóinak közismereti és szakmai elméleti oktatásával összefüggő működtetési feladatok</t>
  </si>
  <si>
    <t>Baktay Ervin Gimnázium beruházások</t>
  </si>
  <si>
    <t>006</t>
  </si>
  <si>
    <t>Bizonytalan adóbevételi forrás</t>
  </si>
  <si>
    <t>082030 Művészeti tevékenységek</t>
  </si>
  <si>
    <t>Laffert-kúria beruházások</t>
  </si>
  <si>
    <t>3001-3002</t>
  </si>
  <si>
    <t>vegyes</t>
  </si>
  <si>
    <t>I. Versenysport- és utánpótlás-nevelési tevékenység és támogatás</t>
  </si>
  <si>
    <t>081045</t>
  </si>
  <si>
    <t>II. Szabadidősport-(rekreációs sport-) tevékenység</t>
  </si>
  <si>
    <t>III. Civil szervezetek működési támogatása</t>
  </si>
  <si>
    <t>IV. Civil szervezetek programtámogatása</t>
  </si>
  <si>
    <t>084032</t>
  </si>
  <si>
    <t>084040</t>
  </si>
  <si>
    <t>V. Egyházak közösségi és hitéleti tevékenységének támogatása</t>
  </si>
  <si>
    <t>Dunaharaszti Polgárok Vállalkozói Egyesülete</t>
  </si>
  <si>
    <t>Dunaharaszti Liget Kórus</t>
  </si>
  <si>
    <t>Dunaharaszti Honismereti Kör</t>
  </si>
  <si>
    <t>Gazdakör Dunaharaszti</t>
  </si>
  <si>
    <t>Alsófalusi Nyugdíjas Klub</t>
  </si>
  <si>
    <t>Dunaharaszti Őszirózsa Nyugdíjas Egyesület</t>
  </si>
  <si>
    <t>HardSteppers Tánc és Sport Egyesület</t>
  </si>
  <si>
    <t>Dunaharaszti Szent Erzsébet Karitász Csoport</t>
  </si>
  <si>
    <t>Konténer iskola létesítése, területrészvásárlás, közútfejlesztési terv módosítás, buszmegálló áthelyezés, bózotírtás</t>
  </si>
  <si>
    <t>Dunaharaszti Környezetbarátok Egyesülete</t>
  </si>
  <si>
    <t>Dunaharaszti Református Egyházközség</t>
  </si>
  <si>
    <t>Lányok, Asszonyok a Városért Egyesület (LAVE)</t>
  </si>
  <si>
    <t>Dunaharaszti KEMPO Sport Egyesület</t>
  </si>
  <si>
    <t>Szent Család Házas Közösség</t>
  </si>
  <si>
    <t>Dunaharaszti Fiatal Házasok Közössége</t>
  </si>
  <si>
    <t>Dunaharaszti Nagycsaládosok Közössége</t>
  </si>
  <si>
    <t>Dunaharaszti Katolikus Ifjúsági Közösség</t>
  </si>
  <si>
    <t>Dunaharaszti Szent István Kórus</t>
  </si>
  <si>
    <t>Dunaharaszti E. N. D. Családos Közösség</t>
  </si>
  <si>
    <t>Rocky Nagyik Tánccsoport</t>
  </si>
  <si>
    <t>Haraszti Íjász Club</t>
  </si>
  <si>
    <t>Napfény Tánccsoport</t>
  </si>
  <si>
    <t>Dunaharaszti Baptista Gyülekezet</t>
  </si>
  <si>
    <t>Alkotók Dunaharaszti Egyesülete</t>
  </si>
  <si>
    <t>Dunaharaszti Foltvarázslók</t>
  </si>
  <si>
    <t>Dunaharaszti Ifjsági Egyesület</t>
  </si>
  <si>
    <t>Dunaharaszti Környezetvédelmi és Kulturális Egyesület</t>
  </si>
  <si>
    <t>Let's Dance Tánccsoport</t>
  </si>
  <si>
    <t>Barátság Nyugdíjas Egyesület</t>
  </si>
  <si>
    <t>Dunaharaszti Rákóczi-ligeti Római Katolikus Egyházközség</t>
  </si>
  <si>
    <t>Magyarországi Gyermekbarátok Mozgalma</t>
  </si>
  <si>
    <t>Petőfi-ligetért Baráti Kör</t>
  </si>
  <si>
    <t>"Happy Dance Company" (Blue Star) Amatőr Moderntánccsoport</t>
  </si>
  <si>
    <t>A-10 Dunaharaszti Postagalamb Sport Egyesület</t>
  </si>
  <si>
    <t>Kisdunamenti Ashihara Karate és Szabadidő Sport Közhasznú Egyesület</t>
  </si>
  <si>
    <t>Mozgáskorlátozottak Dunaharaszti Egyesülete</t>
  </si>
  <si>
    <t>Görög Katolikus Egyház Dunaharaszti Csoportja</t>
  </si>
  <si>
    <t>Dunaharaszti Művészeti Egyesület</t>
  </si>
  <si>
    <t>NEDH Dunaharaszti Nagycsaládos Egyesület</t>
  </si>
  <si>
    <t>Fiatalok Dunaharasztiért (FIDU) Egyesület</t>
  </si>
  <si>
    <t>Dunaharaszti Szent István Templom Szent Cecília Kórus</t>
  </si>
  <si>
    <t>Dunaharaszti Nőegylet</t>
  </si>
  <si>
    <t>Dunaharaszti Judo Club</t>
  </si>
  <si>
    <t>Dunaharaszti Goju-Ryu Karate Sport Egyesület</t>
  </si>
  <si>
    <t>Dunaharaszti Művészetbarátok Köre</t>
  </si>
  <si>
    <t>Dunamenti Összművészeti Egyesület DÖME</t>
  </si>
  <si>
    <t>Dunaharaszti Katonai Hagyományőrző Egyesület</t>
  </si>
  <si>
    <t>Dunaharaszti Honvágy Székely Kör</t>
  </si>
  <si>
    <t>Dunaharaszti Evangélikus Egyházközség</t>
  </si>
  <si>
    <t>Kisduna Blasmusik Fúvószenekar Zenei Egyesület</t>
  </si>
  <si>
    <t>Dunaharaszti Nádor Lakóövezetért Közhasznú Egyesület</t>
  </si>
  <si>
    <t>Tenni Akarunk Dunaharasztiért Egyesület</t>
  </si>
  <si>
    <t>Dunaharaszti Polgári Kör</t>
  </si>
  <si>
    <t>6/2014.(IV.24.) sz. OMS határozat alapján felosztott civil szervezetek támogatása keretből 14.000.000 Ft</t>
  </si>
  <si>
    <t>Fut a Haraszti (Dunaharaszti Futók)</t>
  </si>
  <si>
    <t>Városi térfigyelő kamera rendszer bővítés</t>
  </si>
  <si>
    <t>031030 Közterület rendjének fenntartása</t>
  </si>
  <si>
    <t>Gyakorló pálya műfű gondozás/Pályázati önrész</t>
  </si>
  <si>
    <t>Kőrösi Csoma Sándor Általános Iskola vizesblokk felújítás</t>
  </si>
  <si>
    <t>077, 080</t>
  </si>
  <si>
    <t>VII. Civil szervezetek támogatása</t>
  </si>
  <si>
    <t>LAVE támogatása</t>
  </si>
  <si>
    <t>Nádor Lakóövezetért Közhasznú Egyesület</t>
  </si>
  <si>
    <t>Dunaharaszti Katona Hagyományőrző Egyesület</t>
  </si>
  <si>
    <t>Dunaharaszti Nyugdíjasok Egyesülete</t>
  </si>
  <si>
    <t>Peter Cerny Alapítvány támogatása</t>
  </si>
  <si>
    <t>Beszélj Velem Alapítvány támogatása</t>
  </si>
  <si>
    <t>Aranycsapat Alapítvány támogatása</t>
  </si>
  <si>
    <t>091140 Óvodai nevelés, ellátás működtetési feladatai</t>
  </si>
  <si>
    <t>Gyermekorvosi rendelő helység klimatizálás</t>
  </si>
  <si>
    <t>091</t>
  </si>
  <si>
    <t>091140 Óvodai nevelés,ellátás működtetési feladatai</t>
  </si>
  <si>
    <t>Hétszínvirág Óvoda napelem pályázat</t>
  </si>
  <si>
    <t>092120 Köznevelési intézmény 5-8. évfolyamán tanulók nevelése</t>
  </si>
  <si>
    <t>Kőrösi Csoma Sándor Általános Iskola napelem pályázat</t>
  </si>
  <si>
    <t>Szent István Plébánia támogatása</t>
  </si>
  <si>
    <t>VIII. Egyházak közösségi és hitéleti tevékenységének támogatása</t>
  </si>
  <si>
    <t>Mozgáskorlátozottak Dunaharaszti Egyesületének támogatása</t>
  </si>
  <si>
    <t>Dunaharaszti Ifjúsági Egyesület támogatása</t>
  </si>
  <si>
    <t>Dunaharaszti Környezetvédelmi és Kulturális Egyesület támogatása</t>
  </si>
  <si>
    <t>Dunaharaszti Református Egyház bérleti díj támogatása</t>
  </si>
  <si>
    <t>091220 Köznevelési intézmény 1-4. évfolyamán tanulók nevelésével, oktatásával összefüggő müködtetési feladatok</t>
  </si>
  <si>
    <t>Szigetszentmiklós-Tököl Sportegyesület támogatása</t>
  </si>
  <si>
    <t>K-71</t>
  </si>
  <si>
    <t>K-73</t>
  </si>
  <si>
    <t>K-72</t>
  </si>
  <si>
    <t>K-74</t>
  </si>
  <si>
    <t>Hétszínvirág Óvoda nyílászáró árnyékolása, klíma</t>
  </si>
  <si>
    <t>Százszorszép Óvoda</t>
  </si>
  <si>
    <t>086030 Nemzetközi kulturális együttműködés</t>
  </si>
  <si>
    <t>BEG Comenius pályázatból beruházás</t>
  </si>
  <si>
    <t>20/a</t>
  </si>
  <si>
    <t>Temető tárgyi eszköz beszerzések</t>
  </si>
  <si>
    <t>23/a</t>
  </si>
  <si>
    <t>II. Rákóczi Ferenc Általános Iskola alsó tagozat tárgyi eszköz beszerzés</t>
  </si>
  <si>
    <t>26/a</t>
  </si>
  <si>
    <t>Hunyadi János Általános Iskola beruházások alsó tagozat</t>
  </si>
  <si>
    <t>Hunyadi János Általános Iskola beruházások felső tagozat</t>
  </si>
  <si>
    <t>Nevelési Tanácsadó tárgyi eszköz beszerzések</t>
  </si>
  <si>
    <t>Alapfokú Művészetoktatási Intézmény tárgyi eszköz beszerzések</t>
  </si>
  <si>
    <t>098022 Pedagógiai szakszolgáltató tevékenység működtetési feladatai</t>
  </si>
  <si>
    <t>091250 Alapfokú művészet-oktatással összefüggő működtetési feladatok</t>
  </si>
  <si>
    <t>Teljesítés</t>
  </si>
  <si>
    <t>Adó beruházás és eszközbeszerzés</t>
  </si>
  <si>
    <t>3042-3043</t>
  </si>
  <si>
    <t>4001-4009</t>
  </si>
  <si>
    <t>3023-3025</t>
  </si>
  <si>
    <t>Petőfi Ligetért Baráti Kör</t>
  </si>
  <si>
    <t>Dunaharaszti Nádor Lakóövezetért Egyesület</t>
  </si>
  <si>
    <t>P+R parkoló csapadékvíz átvezetés</t>
  </si>
  <si>
    <t>2013. évben tervezett útépítéshez kapcsolódó csap.víz elvezetés</t>
  </si>
  <si>
    <t>2014. évben tervezett útépítéshez kapcsolódó csap.víz elvezetés</t>
  </si>
  <si>
    <t>Csokonai u. csatorna bekötés 2 db</t>
  </si>
  <si>
    <t>Némedi út várakozósáv és járdaépítés közterületen tervezése</t>
  </si>
  <si>
    <t>13/a</t>
  </si>
  <si>
    <t>11/a</t>
  </si>
  <si>
    <t>Lidl-nél buszmegálló és vízelvezetés tervezés</t>
  </si>
  <si>
    <t>Hunyadi tagintézmény létesítése</t>
  </si>
  <si>
    <t>061</t>
  </si>
  <si>
    <t>041233 Hosszabb időtartamú közfoglalkoztatás</t>
  </si>
  <si>
    <t>Közfoglalkoztatáshoz kapcsolódó tárgyi eszköz beszerzés</t>
  </si>
  <si>
    <t>4056, 4059</t>
  </si>
  <si>
    <t>4060, 4061</t>
  </si>
  <si>
    <t>Erzsébet utalvány formájában nyújtott természetbeli támogatás</t>
  </si>
  <si>
    <t>052020 Szennyvíz gyűjtése, tisztítása, elhelyezése</t>
  </si>
  <si>
    <t>DV által kibocsátott kötvény</t>
  </si>
  <si>
    <t>IX. Versenysport- és utánpótlás-nevelési tevékenység és támogatás</t>
  </si>
  <si>
    <t>049010</t>
  </si>
  <si>
    <t>X. Máshova nem sorolt gazdasági ügyek</t>
  </si>
  <si>
    <t>BEG vizügyi szakképzés megszüntetés</t>
  </si>
  <si>
    <t>009</t>
  </si>
  <si>
    <t>Önkormányzati és Európai Parlamenti Választások</t>
  </si>
  <si>
    <t>Választásokhoz kapcsolódó eszközbeszerzés</t>
  </si>
  <si>
    <t>3023-24, 4021-22</t>
  </si>
  <si>
    <t>3031-3032</t>
  </si>
  <si>
    <t>Csokonai u. járdaépítés</t>
  </si>
  <si>
    <t>A-3 és A-7 belvíz csatorna</t>
  </si>
  <si>
    <t>069</t>
  </si>
  <si>
    <t>094</t>
  </si>
  <si>
    <t>051030 Nem veszélyes hulladék vegyes begyűjtése</t>
  </si>
  <si>
    <t>Duna-holtág rehabilitáció terv vizsgálati dokumentáció</t>
  </si>
  <si>
    <t>Hulladékgyűjtő edények beszerzése</t>
  </si>
  <si>
    <t>Napsugár Óvoda tetőtéri öltöző és mosdó kiépítése</t>
  </si>
  <si>
    <t>051</t>
  </si>
  <si>
    <t>Gyermekorvosi rendelőbe előtető építése</t>
  </si>
  <si>
    <t>073</t>
  </si>
  <si>
    <t>093</t>
  </si>
  <si>
    <t>074051 Nem fertőző megbetegedések megelőlegezése</t>
  </si>
  <si>
    <t>Vérnyomásmérő</t>
  </si>
  <si>
    <t>Közmunkásokhoz kapcsolódó tárgyi eszköz beszerzés</t>
  </si>
  <si>
    <t>DMTK felhalmozási célú támogatása</t>
  </si>
  <si>
    <t>Baktay Ervin Alapítvány támogatása</t>
  </si>
  <si>
    <t>Lustige Schwaben támogatása</t>
  </si>
  <si>
    <t>Őszirózsa Nyugdíjas Egyesület támogatása</t>
  </si>
  <si>
    <t>Dunaharaszti Giraffe Kerékpár Club Sport Egyesület támogatása</t>
  </si>
  <si>
    <t>FTC támogatása Kerekes Balázs világbajnoksági részvételén</t>
  </si>
  <si>
    <t>Előirányzat 2014-ben</t>
  </si>
  <si>
    <t>A beruházásokhoz kapcsolódó EU támogatások és hitelek kockázati fedezete * (hitel engedély függvénye: 25.000)</t>
  </si>
  <si>
    <t>II. Rákózci F.Á.I. Rákóczi u. 1. szám alatti ingatlan tetőszigetelése</t>
  </si>
  <si>
    <t>Baktay Ervin Gimnázium vízesblokk felújítása</t>
  </si>
  <si>
    <t>Szennyvíztisztítóval kapcsolatos feladatok</t>
  </si>
  <si>
    <t>2014. évi csapadékvíz elvezetések</t>
  </si>
  <si>
    <t>4067, 4075</t>
  </si>
  <si>
    <t>2014. év</t>
  </si>
  <si>
    <t>081030-1 Sportlétesítmények, edzőtáborok működtet.és fejl.</t>
  </si>
  <si>
    <t>Székely kör, Honvágy Székely kör támogatása</t>
  </si>
  <si>
    <t>Különbözet</t>
  </si>
  <si>
    <t>2014.évi önkormányzatok működési és felhalmozási célú költségvetési támogatása Magyarország 2014. évi központi költségvetéséről szóló 2013. évi CCXXX. törvény alapján</t>
  </si>
  <si>
    <t>Költségvetési törvény szerinti számozás</t>
  </si>
  <si>
    <t>Mutató</t>
  </si>
  <si>
    <t>Módosított mutató</t>
  </si>
  <si>
    <t>Fajlagos összeg</t>
  </si>
  <si>
    <t>Arányosított összeg</t>
  </si>
  <si>
    <t>Normatíva összege</t>
  </si>
  <si>
    <t>Módosított normatíva összege</t>
  </si>
  <si>
    <t>2. számú melléklet: A helyi önkormányzatok általános működésének és ágazati feladatainak támogatása</t>
  </si>
  <si>
    <t>I.</t>
  </si>
  <si>
    <t>A HELYI ÖNKORMÁNYZATOK MŰKÖDÉSÉNEK ÁLTALÁNOS TÁMOGATÁSA</t>
  </si>
  <si>
    <t xml:space="preserve">III.2 </t>
  </si>
  <si>
    <t>Hozzájárulás a pénzbeli szociális ellátásokhoz beszámítás után</t>
  </si>
  <si>
    <t>Helyi önkormányzatok működésének általános támogatása és hozzájárulás a pénzbeli szociális feladatokhoz</t>
  </si>
  <si>
    <t>II.</t>
  </si>
  <si>
    <t>A TELEPÜLÉSI ÖNKORMÁNYZATOK EGYES KÖZNEVELÉSI FELADATAINAK TÁMOGATÁSA</t>
  </si>
  <si>
    <t>II.1.</t>
  </si>
  <si>
    <t>Óvodapedagógusok és az óvodapedagógusok nevelő munkáját közvetelenül segítők bértámogatása</t>
  </si>
  <si>
    <t>8 hó</t>
  </si>
  <si>
    <t>Óvodapedagógusok</t>
  </si>
  <si>
    <t xml:space="preserve">Óvodapedagógusok nevelő munkáját közvetlenül segítők </t>
  </si>
  <si>
    <t>4 hó</t>
  </si>
  <si>
    <t>Óvodapedagógusok 3 havi pótlólagos támogatása</t>
  </si>
  <si>
    <t>II.2.</t>
  </si>
  <si>
    <t>Óvodaműködtetési támogatás</t>
  </si>
  <si>
    <t>Óvodaműködtetési támogatás 8 hó gyermek nevelése a napi 8 órát nem éri el</t>
  </si>
  <si>
    <t>Óvodaműködtetési támogatás 8 hó gyermek nevelése a napi 8 órát eléri vagy meghaladja</t>
  </si>
  <si>
    <t>Óvodaműködtetési támogatás 4 hó  gyermek nevelése a napi 8 órát nem éri el</t>
  </si>
  <si>
    <t>Óvodaműködtetési támogatás 4 hó  gyermek nevelése a napi 8 órát eléri vagy meghaladja</t>
  </si>
  <si>
    <t>III.</t>
  </si>
  <si>
    <t>A TELEPÜLÉSI ÖNKORMÁNYZATOK SZOCIÁLIS, GYERMEKJÓLÉTI ÉS GYERMEKÉTKEZTETÉSI FELADATAINAK TÁMOGATÁSA</t>
  </si>
  <si>
    <t>III. 1</t>
  </si>
  <si>
    <t>Egyes jövedelempótló támogatások kiegészítése</t>
  </si>
  <si>
    <t xml:space="preserve">III. 3. </t>
  </si>
  <si>
    <t>Egyes szociális és gyermekjóléti feladatok támogatása</t>
  </si>
  <si>
    <t>III.3.a</t>
  </si>
  <si>
    <t>Szociális és gyermekjóléti feladatok támogatása</t>
  </si>
  <si>
    <t>III.3.aa (1)</t>
  </si>
  <si>
    <t>70000 fő lakosságszámig működési engedéllyel családsegítés</t>
  </si>
  <si>
    <t>III.3.aa (2)</t>
  </si>
  <si>
    <t>70000 fő lakosságszámig működési engedéllyel gyermekjóléti szolgálat</t>
  </si>
  <si>
    <t>III.3.c (1)</t>
  </si>
  <si>
    <t>Szociális étkeztetés</t>
  </si>
  <si>
    <t>III.3.d (1)</t>
  </si>
  <si>
    <t>Házi segítségnyújtás</t>
  </si>
  <si>
    <t>III.3.f (1)</t>
  </si>
  <si>
    <t>Időskorúak nappali intézményi ellátása</t>
  </si>
  <si>
    <t>III.3.j</t>
  </si>
  <si>
    <t>Gyermekek napközbeni ellátása</t>
  </si>
  <si>
    <t>III.3.ja</t>
  </si>
  <si>
    <t>Bölcsődei ellátás</t>
  </si>
  <si>
    <t>III. 3. l.</t>
  </si>
  <si>
    <t>Gyermekek átmeneti intézményei</t>
  </si>
  <si>
    <t>III. 3. l.(5)</t>
  </si>
  <si>
    <t>Helyettes szülő</t>
  </si>
  <si>
    <t xml:space="preserve">III. 5. </t>
  </si>
  <si>
    <t>Gyermekétkeztetés támogatása</t>
  </si>
  <si>
    <t>III. 5. a</t>
  </si>
  <si>
    <t>A finanszírozás szempontjából elismert dolgozók bértámogatása</t>
  </si>
  <si>
    <t>III. 5. b</t>
  </si>
  <si>
    <t>Gyermekétkeztetés üzemeltetési támogatása</t>
  </si>
  <si>
    <t xml:space="preserve">IV. </t>
  </si>
  <si>
    <t xml:space="preserve">A TELEPÜLÉSI ÖNKORMÁNYZATOK KULTURÁLIS FELADATAINAK TÁMOGATÁSA </t>
  </si>
  <si>
    <t>IV.1.h</t>
  </si>
  <si>
    <t>Könyvtári, közművelődési és múzeumi feladatok támogatása összesen</t>
  </si>
  <si>
    <t>2. számú melléklet összesen</t>
  </si>
  <si>
    <t>3. számú melléklet: A helyi önkormányzatok által felhasználható központosított előirányzatok</t>
  </si>
  <si>
    <t>Üdülőhelyi feladatok</t>
  </si>
  <si>
    <t>Lakott külterülettel kapcsolatos feladadtok támogatása</t>
  </si>
  <si>
    <t>Az e-útdíj bevezetésével kapcsolatos önkormányzatoknál keletkező bevételkiesés ellentételezése</t>
  </si>
  <si>
    <t>A 2013. évről áthúzódó bérkompenzáció támogatása</t>
  </si>
  <si>
    <t>3. számú melléklet összesen</t>
  </si>
  <si>
    <t xml:space="preserve"> A helyi önkormányzatok kiegészítő támogatásai</t>
  </si>
  <si>
    <t>Ágazati pótlék</t>
  </si>
  <si>
    <t>Természetbeni támogatások (Erzsébet utalvány)</t>
  </si>
  <si>
    <t>Átvállalt hitel és kamat törlesztés</t>
  </si>
  <si>
    <t>Pótlólagos állami</t>
  </si>
  <si>
    <t>2013. évi normatíva ellenőrzés visszafizetés</t>
  </si>
  <si>
    <t>A költségvetési szerveknél foglalkoztatottak 2014. évi kompenzációja</t>
  </si>
  <si>
    <t>Helyi önkotmárnyzatok működési kiegészítő támogatásai</t>
  </si>
  <si>
    <t>2014. évi önkormányzatok működési célú költségvetési támogatása mindösszesen</t>
  </si>
  <si>
    <t>Könyvtári érdekeltségnövelő támogatás</t>
  </si>
  <si>
    <t>Magyar Államkincstár által átvállalt hitel törlesztés és kamat fizetés</t>
  </si>
  <si>
    <t>2014. évi önkormányzatok felhalmozási célú költségvetési támogatása mindösszesen</t>
  </si>
  <si>
    <t>2014. évi önkormányzatok működési és felhalmozási célú költségvetési támogatása mindösszesen</t>
  </si>
  <si>
    <t>Deák Ferenc u. víziközmű rekonstrukció utáni út helyreállítás úthelyreállítás</t>
  </si>
  <si>
    <t xml:space="preserve">Víziközmű rekonstrukció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</si>
</sst>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\ _F_t_-;\-* #,##0\ _F_t_-;_-* \-??\ _F_t_-;_-@_-"/>
    <numFmt numFmtId="168" formatCode="#,##0\ _F_t"/>
    <numFmt numFmtId="169" formatCode="_-* #,##0\ _F_t_-;\-* #,##0\ _F_t_-;_-* &quot;-&quot;??\ _F_t_-;_-@_-"/>
    <numFmt numFmtId="170" formatCode="_-* #,##0.0\ _F_t_-;\-* #,##0.0\ _F_t_-;_-* &quot;-&quot;??\ _F_t_-;_-@_-"/>
    <numFmt numFmtId="171" formatCode="_-* #,##0\ &quot;Ft&quot;_-;\-* #,##0\ &quot;Ft&quot;_-;_-* &quot;-&quot;??\ &quot;Ft&quot;_-;_-@_-"/>
    <numFmt numFmtId="172" formatCode="#,##0\ &quot;Ft&quot;"/>
    <numFmt numFmtId="173" formatCode="_-* #,##0.0000\ _F_t_-;\-* #,##0.0000\ _F_t_-;_-* &quot;-&quot;??\ _F_t_-;_-@_-"/>
    <numFmt numFmtId="174" formatCode="yyyy/mm/dd;@"/>
    <numFmt numFmtId="175" formatCode="_-* #,##0.0\ &quot;Ft&quot;_-;\-* #,##0.0\ &quot;Ft&quot;_-;_-* &quot;-&quot;??\ &quot;Ft&quot;_-;_-@_-"/>
  </numFmts>
  <fonts count="8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Garamond"/>
      <family val="1"/>
    </font>
    <font>
      <b/>
      <sz val="22"/>
      <name val="Garamond"/>
      <family val="1"/>
    </font>
    <font>
      <sz val="12"/>
      <name val="Arial CE"/>
      <family val="2"/>
    </font>
    <font>
      <b/>
      <sz val="16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6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Garamond"/>
      <family val="1"/>
    </font>
    <font>
      <b/>
      <sz val="18"/>
      <name val="Garamond"/>
      <family val="1"/>
    </font>
    <font>
      <b/>
      <i/>
      <sz val="12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8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14"/>
      <color indexed="8"/>
      <name val="Garamond"/>
      <family val="1"/>
    </font>
    <font>
      <i/>
      <sz val="11"/>
      <color indexed="8"/>
      <name val="Garamond"/>
      <family val="1"/>
    </font>
    <font>
      <sz val="9"/>
      <color indexed="8"/>
      <name val="Garamond"/>
      <family val="1"/>
    </font>
    <font>
      <b/>
      <i/>
      <sz val="18"/>
      <name val="Garamond"/>
      <family val="1"/>
    </font>
    <font>
      <sz val="16"/>
      <color indexed="8"/>
      <name val="Garamond"/>
      <family val="1"/>
    </font>
    <font>
      <b/>
      <sz val="16"/>
      <color indexed="8"/>
      <name val="Garamond"/>
      <family val="1"/>
    </font>
    <font>
      <sz val="12"/>
      <color indexed="8"/>
      <name val="Garamond"/>
      <family val="1"/>
    </font>
    <font>
      <sz val="12"/>
      <name val="Times New Roman"/>
      <family val="1"/>
    </font>
    <font>
      <b/>
      <i/>
      <sz val="16"/>
      <name val="Garamond"/>
      <family val="1"/>
    </font>
    <font>
      <sz val="18"/>
      <color indexed="8"/>
      <name val="Garamond"/>
      <family val="1"/>
    </font>
    <font>
      <b/>
      <sz val="12"/>
      <name val="Arial CE"/>
      <family val="0"/>
    </font>
    <font>
      <b/>
      <sz val="16"/>
      <color indexed="8"/>
      <name val="Times New Roman"/>
      <family val="1"/>
    </font>
    <font>
      <i/>
      <sz val="14"/>
      <name val="Garamond"/>
      <family val="1"/>
    </font>
    <font>
      <b/>
      <sz val="18"/>
      <color indexed="8"/>
      <name val="Garamond"/>
      <family val="1"/>
    </font>
    <font>
      <b/>
      <i/>
      <sz val="22"/>
      <name val="Garamond"/>
      <family val="1"/>
    </font>
    <font>
      <sz val="20"/>
      <name val="Garamond"/>
      <family val="1"/>
    </font>
    <font>
      <sz val="10"/>
      <color indexed="8"/>
      <name val="Garamond"/>
      <family val="1"/>
    </font>
    <font>
      <b/>
      <sz val="12"/>
      <color indexed="8"/>
      <name val="Garamond"/>
      <family val="1"/>
    </font>
    <font>
      <b/>
      <sz val="9"/>
      <color indexed="8"/>
      <name val="Garamond"/>
      <family val="1"/>
    </font>
    <font>
      <sz val="15"/>
      <name val="Garamond"/>
      <family val="1"/>
    </font>
    <font>
      <strike/>
      <sz val="11"/>
      <color indexed="10"/>
      <name val="Garamond"/>
      <family val="1"/>
    </font>
    <font>
      <sz val="8"/>
      <name val="Arial CE"/>
      <family val="0"/>
    </font>
    <font>
      <b/>
      <i/>
      <sz val="11"/>
      <color indexed="8"/>
      <name val="Garamond"/>
      <family val="1"/>
    </font>
    <font>
      <b/>
      <sz val="15"/>
      <name val="Garamond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/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thin"/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/>
      <right style="hair"/>
      <top/>
      <bottom style="thin"/>
    </border>
    <border>
      <left style="thin"/>
      <right style="hair"/>
      <top style="thin"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/>
      <top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 style="hair">
        <color indexed="8"/>
      </bottom>
    </border>
    <border>
      <left style="hair"/>
      <right/>
      <top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/>
      <top/>
      <bottom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/>
    </border>
    <border>
      <left style="thin"/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thin">
        <color indexed="8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 style="hair"/>
      <top/>
      <bottom style="thin"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/>
      <bottom style="hair"/>
    </border>
    <border>
      <left style="hair">
        <color indexed="8"/>
      </left>
      <right style="thin"/>
      <top/>
      <bottom/>
    </border>
    <border>
      <left style="hair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1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3" fillId="5" borderId="0" applyNumberFormat="0" applyBorder="0" applyAlignment="0" applyProtection="0"/>
    <xf numFmtId="0" fontId="65" fillId="36" borderId="1" applyNumberFormat="0" applyAlignment="0" applyProtection="0"/>
    <xf numFmtId="0" fontId="14" fillId="37" borderId="2" applyNumberFormat="0" applyAlignment="0" applyProtection="0"/>
    <xf numFmtId="0" fontId="15" fillId="38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9" borderId="7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ill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5" fillId="0" borderId="0" applyFill="0" applyBorder="0" applyAlignment="0" applyProtection="0"/>
    <xf numFmtId="0" fontId="7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1" fillId="11" borderId="2" applyNumberFormat="0" applyAlignment="0" applyProtection="0"/>
    <xf numFmtId="0" fontId="0" fillId="40" borderId="12" applyNumberFormat="0" applyFont="0" applyAlignment="0" applyProtection="0"/>
    <xf numFmtId="0" fontId="73" fillId="41" borderId="0" applyNumberFormat="0" applyBorder="0" applyAlignment="0" applyProtection="0"/>
    <xf numFmtId="0" fontId="74" fillId="42" borderId="13" applyNumberFormat="0" applyAlignment="0" applyProtection="0"/>
    <xf numFmtId="0" fontId="22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4" borderId="15" applyNumberFormat="0" applyFont="0" applyAlignment="0" applyProtection="0"/>
    <xf numFmtId="0" fontId="24" fillId="37" borderId="16" applyNumberFormat="0" applyAlignment="0" applyProtection="0"/>
    <xf numFmtId="0" fontId="7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45" borderId="0" applyNumberFormat="0" applyBorder="0" applyAlignment="0" applyProtection="0"/>
    <xf numFmtId="0" fontId="78" fillId="46" borderId="0" applyNumberFormat="0" applyBorder="0" applyAlignment="0" applyProtection="0"/>
    <xf numFmtId="0" fontId="79" fillId="42" borderId="1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</cellStyleXfs>
  <cellXfs count="1381">
    <xf numFmtId="0" fontId="0" fillId="0" borderId="0" xfId="0" applyAlignment="1">
      <alignment/>
    </xf>
    <xf numFmtId="0" fontId="4" fillId="0" borderId="0" xfId="109" applyFont="1" applyFill="1">
      <alignment/>
      <protection/>
    </xf>
    <xf numFmtId="0" fontId="7" fillId="0" borderId="0" xfId="96" applyFont="1" applyFill="1">
      <alignment/>
      <protection/>
    </xf>
    <xf numFmtId="0" fontId="9" fillId="0" borderId="0" xfId="109" applyFont="1" applyFill="1">
      <alignment/>
      <protection/>
    </xf>
    <xf numFmtId="0" fontId="7" fillId="0" borderId="0" xfId="96" applyFont="1" applyFill="1" applyBorder="1">
      <alignment/>
      <protection/>
    </xf>
    <xf numFmtId="0" fontId="8" fillId="0" borderId="0" xfId="96" applyFont="1" applyFill="1" applyBorder="1">
      <alignment/>
      <protection/>
    </xf>
    <xf numFmtId="0" fontId="7" fillId="0" borderId="19" xfId="96" applyFont="1" applyFill="1" applyBorder="1">
      <alignment/>
      <protection/>
    </xf>
    <xf numFmtId="3" fontId="11" fillId="0" borderId="19" xfId="96" applyNumberFormat="1" applyFont="1" applyFill="1" applyBorder="1">
      <alignment/>
      <protection/>
    </xf>
    <xf numFmtId="0" fontId="11" fillId="0" borderId="0" xfId="96" applyFont="1" applyFill="1">
      <alignment/>
      <protection/>
    </xf>
    <xf numFmtId="0" fontId="8" fillId="0" borderId="0" xfId="109" applyFont="1" applyFill="1" applyBorder="1" applyAlignment="1">
      <alignment horizontal="center" wrapText="1"/>
      <protection/>
    </xf>
    <xf numFmtId="0" fontId="10" fillId="0" borderId="0" xfId="107" applyFont="1" applyFill="1">
      <alignment/>
      <protection/>
    </xf>
    <xf numFmtId="0" fontId="4" fillId="0" borderId="0" xfId="107" applyFont="1" applyFill="1" applyBorder="1">
      <alignment/>
      <protection/>
    </xf>
    <xf numFmtId="0" fontId="10" fillId="0" borderId="0" xfId="107" applyFont="1" applyFill="1" applyBorder="1">
      <alignment/>
      <protection/>
    </xf>
    <xf numFmtId="0" fontId="8" fillId="0" borderId="0" xfId="107" applyFont="1" applyFill="1" applyBorder="1" applyAlignment="1">
      <alignment horizontal="center"/>
      <protection/>
    </xf>
    <xf numFmtId="0" fontId="10" fillId="0" borderId="0" xfId="107" applyFont="1" applyFill="1" applyBorder="1" applyAlignment="1">
      <alignment horizontal="center"/>
      <protection/>
    </xf>
    <xf numFmtId="0" fontId="10" fillId="0" borderId="0" xfId="107" applyFont="1" applyFill="1" applyAlignment="1">
      <alignment horizontal="center"/>
      <protection/>
    </xf>
    <xf numFmtId="0" fontId="9" fillId="0" borderId="20" xfId="107" applyFont="1" applyFill="1" applyBorder="1" applyAlignment="1">
      <alignment horizontal="right"/>
      <protection/>
    </xf>
    <xf numFmtId="0" fontId="10" fillId="0" borderId="21" xfId="107" applyFont="1" applyFill="1" applyBorder="1" applyAlignment="1">
      <alignment horizontal="center"/>
      <protection/>
    </xf>
    <xf numFmtId="0" fontId="10" fillId="0" borderId="22" xfId="107" applyFont="1" applyFill="1" applyBorder="1" applyAlignment="1">
      <alignment horizontal="center"/>
      <protection/>
    </xf>
    <xf numFmtId="0" fontId="10" fillId="0" borderId="23" xfId="107" applyFont="1" applyFill="1" applyBorder="1" applyAlignment="1">
      <alignment horizontal="center"/>
      <protection/>
    </xf>
    <xf numFmtId="0" fontId="28" fillId="0" borderId="19" xfId="107" applyFont="1" applyFill="1" applyBorder="1" applyAlignment="1">
      <alignment horizontal="center"/>
      <protection/>
    </xf>
    <xf numFmtId="0" fontId="28" fillId="0" borderId="0" xfId="107" applyFont="1" applyFill="1">
      <alignment/>
      <protection/>
    </xf>
    <xf numFmtId="0" fontId="6" fillId="0" borderId="19" xfId="107" applyFont="1" applyFill="1" applyBorder="1">
      <alignment/>
      <protection/>
    </xf>
    <xf numFmtId="0" fontId="6" fillId="0" borderId="24" xfId="107" applyFont="1" applyFill="1" applyBorder="1" applyAlignment="1">
      <alignment wrapText="1"/>
      <protection/>
    </xf>
    <xf numFmtId="0" fontId="6" fillId="0" borderId="25" xfId="107" applyFont="1" applyFill="1" applyBorder="1" applyAlignment="1">
      <alignment wrapText="1"/>
      <protection/>
    </xf>
    <xf numFmtId="0" fontId="29" fillId="0" borderId="26" xfId="107" applyFont="1" applyFill="1" applyBorder="1" applyAlignment="1">
      <alignment horizontal="center" vertical="center"/>
      <protection/>
    </xf>
    <xf numFmtId="0" fontId="29" fillId="0" borderId="27" xfId="107" applyFont="1" applyFill="1" applyBorder="1" applyAlignment="1">
      <alignment horizontal="center" vertical="center"/>
      <protection/>
    </xf>
    <xf numFmtId="0" fontId="9" fillId="0" borderId="28" xfId="107" applyFont="1" applyFill="1" applyBorder="1" applyAlignment="1">
      <alignment horizontal="right"/>
      <protection/>
    </xf>
    <xf numFmtId="0" fontId="6" fillId="0" borderId="23" xfId="107" applyFont="1" applyFill="1" applyBorder="1" applyAlignment="1">
      <alignment wrapText="1"/>
      <protection/>
    </xf>
    <xf numFmtId="167" fontId="10" fillId="0" borderId="0" xfId="107" applyNumberFormat="1" applyFont="1" applyFill="1">
      <alignment/>
      <protection/>
    </xf>
    <xf numFmtId="0" fontId="32" fillId="0" borderId="0" xfId="101" applyFont="1">
      <alignment/>
      <protection/>
    </xf>
    <xf numFmtId="0" fontId="43" fillId="0" borderId="0" xfId="101" applyFont="1" applyBorder="1" applyAlignment="1">
      <alignment/>
      <protection/>
    </xf>
    <xf numFmtId="0" fontId="6" fillId="0" borderId="0" xfId="107" applyFont="1" applyFill="1" applyBorder="1" applyAlignment="1">
      <alignment horizontal="center"/>
      <protection/>
    </xf>
    <xf numFmtId="0" fontId="8" fillId="0" borderId="0" xfId="107" applyFont="1" applyFill="1" applyBorder="1">
      <alignment/>
      <protection/>
    </xf>
    <xf numFmtId="0" fontId="3" fillId="0" borderId="0" xfId="107" applyFont="1" applyFill="1" applyBorder="1" applyAlignment="1">
      <alignment horizontal="center"/>
      <protection/>
    </xf>
    <xf numFmtId="0" fontId="11" fillId="0" borderId="0" xfId="107" applyFont="1" applyFill="1" applyBorder="1" applyAlignment="1">
      <alignment horizontal="center"/>
      <protection/>
    </xf>
    <xf numFmtId="0" fontId="9" fillId="0" borderId="0" xfId="107" applyFont="1" applyFill="1" applyBorder="1">
      <alignment/>
      <protection/>
    </xf>
    <xf numFmtId="0" fontId="28" fillId="0" borderId="29" xfId="107" applyFont="1" applyFill="1" applyBorder="1" applyAlignment="1">
      <alignment horizontal="left" vertical="center" wrapText="1"/>
      <protection/>
    </xf>
    <xf numFmtId="0" fontId="10" fillId="0" borderId="30" xfId="107" applyFont="1" applyFill="1" applyBorder="1" applyAlignment="1">
      <alignment horizontal="center" vertical="center"/>
      <protection/>
    </xf>
    <xf numFmtId="0" fontId="9" fillId="0" borderId="31" xfId="107" applyFont="1" applyFill="1" applyBorder="1" applyAlignment="1">
      <alignment horizontal="center"/>
      <protection/>
    </xf>
    <xf numFmtId="167" fontId="10" fillId="0" borderId="0" xfId="107" applyNumberFormat="1" applyFont="1" applyFill="1" applyBorder="1">
      <alignment/>
      <protection/>
    </xf>
    <xf numFmtId="0" fontId="28" fillId="0" borderId="32" xfId="107" applyFont="1" applyFill="1" applyBorder="1" applyAlignment="1">
      <alignment horizontal="left" vertical="center" wrapText="1"/>
      <protection/>
    </xf>
    <xf numFmtId="0" fontId="10" fillId="0" borderId="33" xfId="107" applyFont="1" applyFill="1" applyBorder="1" applyAlignment="1">
      <alignment horizontal="center" vertical="center"/>
      <protection/>
    </xf>
    <xf numFmtId="0" fontId="9" fillId="0" borderId="34" xfId="107" applyFont="1" applyFill="1" applyBorder="1" applyAlignment="1">
      <alignment horizontal="center"/>
      <protection/>
    </xf>
    <xf numFmtId="0" fontId="28" fillId="0" borderId="32" xfId="107" applyFont="1" applyFill="1" applyBorder="1" applyAlignment="1">
      <alignment horizontal="left" vertical="center"/>
      <protection/>
    </xf>
    <xf numFmtId="0" fontId="28" fillId="0" borderId="35" xfId="107" applyFont="1" applyFill="1" applyBorder="1" applyAlignment="1">
      <alignment horizontal="left" vertical="center" wrapText="1"/>
      <protection/>
    </xf>
    <xf numFmtId="167" fontId="29" fillId="0" borderId="36" xfId="107" applyNumberFormat="1" applyFont="1" applyFill="1" applyBorder="1" applyAlignment="1">
      <alignment horizontal="center" wrapText="1"/>
      <protection/>
    </xf>
    <xf numFmtId="0" fontId="10" fillId="0" borderId="37" xfId="107" applyFont="1" applyFill="1" applyBorder="1" applyAlignment="1">
      <alignment horizontal="center" vertical="center"/>
      <protection/>
    </xf>
    <xf numFmtId="0" fontId="29" fillId="0" borderId="0" xfId="107" applyFont="1" applyFill="1" applyBorder="1" applyAlignment="1">
      <alignment horizontal="center"/>
      <protection/>
    </xf>
    <xf numFmtId="167" fontId="29" fillId="0" borderId="0" xfId="107" applyNumberFormat="1" applyFont="1" applyFill="1" applyBorder="1" applyAlignment="1">
      <alignment horizontal="center" wrapText="1"/>
      <protection/>
    </xf>
    <xf numFmtId="167" fontId="8" fillId="0" borderId="0" xfId="107" applyNumberFormat="1" applyFont="1" applyFill="1" applyBorder="1" applyAlignment="1">
      <alignment horizontal="center" wrapText="1"/>
      <protection/>
    </xf>
    <xf numFmtId="0" fontId="10" fillId="0" borderId="0" xfId="107" applyFont="1" applyFill="1" applyBorder="1" applyAlignment="1">
      <alignment horizontal="center" vertical="center"/>
      <protection/>
    </xf>
    <xf numFmtId="0" fontId="9" fillId="0" borderId="0" xfId="107" applyFont="1" applyFill="1" applyBorder="1" applyAlignment="1">
      <alignment horizontal="center"/>
      <protection/>
    </xf>
    <xf numFmtId="167" fontId="6" fillId="0" borderId="0" xfId="107" applyNumberFormat="1" applyFont="1" applyFill="1" applyBorder="1" applyAlignment="1">
      <alignment wrapText="1"/>
      <protection/>
    </xf>
    <xf numFmtId="0" fontId="29" fillId="0" borderId="38" xfId="107" applyFont="1" applyFill="1" applyBorder="1" applyAlignment="1">
      <alignment horizontal="center"/>
      <protection/>
    </xf>
    <xf numFmtId="167" fontId="29" fillId="0" borderId="38" xfId="107" applyNumberFormat="1" applyFont="1" applyFill="1" applyBorder="1" applyAlignment="1">
      <alignment horizontal="center" wrapText="1"/>
      <protection/>
    </xf>
    <xf numFmtId="167" fontId="6" fillId="0" borderId="38" xfId="107" applyNumberFormat="1" applyFont="1" applyFill="1" applyBorder="1" applyAlignment="1">
      <alignment wrapText="1"/>
      <protection/>
    </xf>
    <xf numFmtId="0" fontId="10" fillId="0" borderId="38" xfId="107" applyFont="1" applyFill="1" applyBorder="1" applyAlignment="1">
      <alignment horizontal="center" vertical="center"/>
      <protection/>
    </xf>
    <xf numFmtId="0" fontId="9" fillId="0" borderId="21" xfId="107" applyFont="1" applyFill="1" applyBorder="1" applyAlignment="1">
      <alignment horizontal="center"/>
      <protection/>
    </xf>
    <xf numFmtId="167" fontId="29" fillId="0" borderId="39" xfId="107" applyNumberFormat="1" applyFont="1" applyFill="1" applyBorder="1" applyAlignment="1">
      <alignment horizontal="center" wrapText="1"/>
      <protection/>
    </xf>
    <xf numFmtId="167" fontId="6" fillId="0" borderId="39" xfId="107" applyNumberFormat="1" applyFont="1" applyFill="1" applyBorder="1" applyAlignment="1">
      <alignment wrapText="1"/>
      <protection/>
    </xf>
    <xf numFmtId="0" fontId="10" fillId="0" borderId="39" xfId="107" applyFont="1" applyFill="1" applyBorder="1" applyAlignment="1">
      <alignment horizontal="center" vertical="center"/>
      <protection/>
    </xf>
    <xf numFmtId="0" fontId="9" fillId="0" borderId="40" xfId="107" applyFont="1" applyFill="1" applyBorder="1" applyAlignment="1">
      <alignment horizontal="center" vertical="center"/>
      <protection/>
    </xf>
    <xf numFmtId="0" fontId="28" fillId="0" borderId="40" xfId="107" applyFont="1" applyFill="1" applyBorder="1" applyAlignment="1">
      <alignment horizontal="left" vertical="center" wrapText="1"/>
      <protection/>
    </xf>
    <xf numFmtId="0" fontId="9" fillId="0" borderId="19" xfId="107" applyFont="1" applyFill="1" applyBorder="1" applyAlignment="1">
      <alignment horizontal="center"/>
      <protection/>
    </xf>
    <xf numFmtId="0" fontId="4" fillId="0" borderId="0" xfId="107" applyFont="1" applyFill="1" applyBorder="1" applyAlignment="1">
      <alignment horizontal="left" vertical="center" wrapText="1"/>
      <protection/>
    </xf>
    <xf numFmtId="0" fontId="29" fillId="0" borderId="0" xfId="107" applyFont="1" applyFill="1" applyBorder="1" applyAlignment="1">
      <alignment horizontal="center" wrapText="1"/>
      <protection/>
    </xf>
    <xf numFmtId="167" fontId="48" fillId="0" borderId="41" xfId="101" applyNumberFormat="1" applyFont="1" applyBorder="1" applyAlignment="1">
      <alignment/>
      <protection/>
    </xf>
    <xf numFmtId="0" fontId="48" fillId="0" borderId="42" xfId="101" applyFont="1" applyBorder="1" applyAlignment="1">
      <alignment/>
      <protection/>
    </xf>
    <xf numFmtId="0" fontId="48" fillId="0" borderId="0" xfId="101" applyFont="1" applyBorder="1" applyAlignment="1">
      <alignment/>
      <protection/>
    </xf>
    <xf numFmtId="169" fontId="32" fillId="0" borderId="0" xfId="101" applyNumberFormat="1" applyFont="1" applyBorder="1" applyAlignment="1">
      <alignment horizontal="center"/>
      <protection/>
    </xf>
    <xf numFmtId="167" fontId="48" fillId="0" borderId="43" xfId="101" applyNumberFormat="1" applyFont="1" applyBorder="1" applyAlignment="1">
      <alignment/>
      <protection/>
    </xf>
    <xf numFmtId="0" fontId="48" fillId="0" borderId="44" xfId="101" applyFont="1" applyBorder="1" applyAlignment="1">
      <alignment/>
      <protection/>
    </xf>
    <xf numFmtId="3" fontId="52" fillId="0" borderId="19" xfId="101" applyNumberFormat="1" applyFont="1" applyBorder="1" applyAlignment="1">
      <alignment/>
      <protection/>
    </xf>
    <xf numFmtId="0" fontId="54" fillId="0" borderId="0" xfId="107" applyFont="1" applyFill="1" applyBorder="1" applyAlignment="1">
      <alignment horizontal="center"/>
      <protection/>
    </xf>
    <xf numFmtId="167" fontId="54" fillId="0" borderId="0" xfId="107" applyNumberFormat="1" applyFont="1" applyFill="1" applyBorder="1">
      <alignment/>
      <protection/>
    </xf>
    <xf numFmtId="0" fontId="54" fillId="0" borderId="0" xfId="107" applyFont="1" applyFill="1" applyBorder="1">
      <alignment/>
      <protection/>
    </xf>
    <xf numFmtId="0" fontId="7" fillId="0" borderId="33" xfId="107" applyFont="1" applyFill="1" applyBorder="1" applyAlignment="1">
      <alignment horizontal="center" vertical="center" wrapText="1"/>
      <protection/>
    </xf>
    <xf numFmtId="0" fontId="9" fillId="0" borderId="22" xfId="107" applyFont="1" applyFill="1" applyBorder="1" applyAlignment="1">
      <alignment horizontal="center"/>
      <protection/>
    </xf>
    <xf numFmtId="0" fontId="10" fillId="0" borderId="45" xfId="107" applyFont="1" applyFill="1" applyBorder="1" applyAlignment="1">
      <alignment horizontal="center" vertical="center"/>
      <protection/>
    </xf>
    <xf numFmtId="0" fontId="8" fillId="0" borderId="0" xfId="107" applyFont="1" applyFill="1" applyBorder="1" applyAlignment="1">
      <alignment/>
      <protection/>
    </xf>
    <xf numFmtId="0" fontId="28" fillId="0" borderId="46" xfId="107" applyFont="1" applyFill="1" applyBorder="1" applyAlignment="1">
      <alignment horizontal="left" vertical="center"/>
      <protection/>
    </xf>
    <xf numFmtId="0" fontId="10" fillId="0" borderId="47" xfId="107" applyFont="1" applyFill="1" applyBorder="1" applyAlignment="1">
      <alignment horizontal="center" vertical="center"/>
      <protection/>
    </xf>
    <xf numFmtId="0" fontId="10" fillId="0" borderId="48" xfId="107" applyFont="1" applyFill="1" applyBorder="1" applyAlignment="1">
      <alignment horizontal="center" vertical="center"/>
      <protection/>
    </xf>
    <xf numFmtId="167" fontId="10" fillId="33" borderId="0" xfId="107" applyNumberFormat="1" applyFont="1" applyFill="1" applyBorder="1">
      <alignment/>
      <protection/>
    </xf>
    <xf numFmtId="0" fontId="10" fillId="33" borderId="0" xfId="107" applyFont="1" applyFill="1" applyBorder="1">
      <alignment/>
      <protection/>
    </xf>
    <xf numFmtId="0" fontId="9" fillId="0" borderId="49" xfId="107" applyFont="1" applyFill="1" applyBorder="1" applyAlignment="1">
      <alignment horizontal="center"/>
      <protection/>
    </xf>
    <xf numFmtId="0" fontId="10" fillId="0" borderId="50" xfId="107" applyFont="1" applyFill="1" applyBorder="1" applyAlignment="1">
      <alignment horizontal="center" vertical="center"/>
      <protection/>
    </xf>
    <xf numFmtId="0" fontId="9" fillId="0" borderId="23" xfId="107" applyFont="1" applyFill="1" applyBorder="1" applyAlignment="1">
      <alignment horizontal="center"/>
      <protection/>
    </xf>
    <xf numFmtId="0" fontId="10" fillId="0" borderId="51" xfId="107" applyFont="1" applyFill="1" applyBorder="1" applyAlignment="1">
      <alignment horizontal="center" vertical="center"/>
      <protection/>
    </xf>
    <xf numFmtId="0" fontId="28" fillId="0" borderId="52" xfId="107" applyFont="1" applyFill="1" applyBorder="1" applyAlignment="1">
      <alignment horizontal="left" vertical="center"/>
      <protection/>
    </xf>
    <xf numFmtId="0" fontId="10" fillId="0" borderId="53" xfId="107" applyFont="1" applyFill="1" applyBorder="1" applyAlignment="1">
      <alignment horizontal="center" vertical="center"/>
      <protection/>
    </xf>
    <xf numFmtId="0" fontId="28" fillId="0" borderId="54" xfId="107" applyFont="1" applyFill="1" applyBorder="1" applyAlignment="1">
      <alignment vertical="center" wrapText="1"/>
      <protection/>
    </xf>
    <xf numFmtId="0" fontId="28" fillId="0" borderId="32" xfId="107" applyFont="1" applyFill="1" applyBorder="1" applyAlignment="1">
      <alignment vertical="center" wrapText="1"/>
      <protection/>
    </xf>
    <xf numFmtId="0" fontId="28" fillId="0" borderId="55" xfId="107" applyFont="1" applyFill="1" applyBorder="1" applyAlignment="1">
      <alignment horizontal="left" vertical="center"/>
      <protection/>
    </xf>
    <xf numFmtId="0" fontId="10" fillId="0" borderId="48" xfId="107" applyFont="1" applyFill="1" applyBorder="1" applyAlignment="1">
      <alignment horizontal="center" vertical="center" wrapText="1"/>
      <protection/>
    </xf>
    <xf numFmtId="0" fontId="28" fillId="0" borderId="55" xfId="107" applyFont="1" applyFill="1" applyBorder="1" applyAlignment="1">
      <alignment horizontal="left" vertical="center" wrapText="1"/>
      <protection/>
    </xf>
    <xf numFmtId="0" fontId="28" fillId="0" borderId="56" xfId="107" applyFont="1" applyFill="1" applyBorder="1" applyAlignment="1">
      <alignment horizontal="left" vertical="center" wrapText="1"/>
      <protection/>
    </xf>
    <xf numFmtId="0" fontId="10" fillId="0" borderId="57" xfId="107" applyFont="1" applyFill="1" applyBorder="1" applyAlignment="1">
      <alignment horizontal="center" vertical="center" wrapText="1"/>
      <protection/>
    </xf>
    <xf numFmtId="0" fontId="10" fillId="0" borderId="57" xfId="107" applyFont="1" applyFill="1" applyBorder="1" applyAlignment="1">
      <alignment horizontal="center" vertical="center"/>
      <protection/>
    </xf>
    <xf numFmtId="167" fontId="29" fillId="0" borderId="58" xfId="107" applyNumberFormat="1" applyFont="1" applyFill="1" applyBorder="1" applyAlignment="1">
      <alignment horizontal="center" wrapText="1"/>
      <protection/>
    </xf>
    <xf numFmtId="0" fontId="9" fillId="0" borderId="59" xfId="107" applyFont="1" applyFill="1" applyBorder="1" applyAlignment="1">
      <alignment horizontal="center" vertical="center"/>
      <protection/>
    </xf>
    <xf numFmtId="0" fontId="9" fillId="0" borderId="46" xfId="107" applyFont="1" applyFill="1" applyBorder="1" applyAlignment="1">
      <alignment horizontal="center" vertical="center"/>
      <protection/>
    </xf>
    <xf numFmtId="0" fontId="28" fillId="0" borderId="46" xfId="107" applyFont="1" applyFill="1" applyBorder="1" applyAlignment="1">
      <alignment horizontal="left" vertical="center" wrapText="1"/>
      <protection/>
    </xf>
    <xf numFmtId="0" fontId="9" fillId="0" borderId="60" xfId="107" applyFont="1" applyFill="1" applyBorder="1" applyAlignment="1">
      <alignment horizontal="center" vertical="center"/>
      <protection/>
    </xf>
    <xf numFmtId="167" fontId="3" fillId="0" borderId="58" xfId="107" applyNumberFormat="1" applyFont="1" applyFill="1" applyBorder="1" applyAlignment="1">
      <alignment horizontal="center" wrapText="1"/>
      <protection/>
    </xf>
    <xf numFmtId="167" fontId="29" fillId="0" borderId="58" xfId="107" applyNumberFormat="1" applyFont="1" applyFill="1" applyBorder="1" applyAlignment="1">
      <alignment wrapText="1"/>
      <protection/>
    </xf>
    <xf numFmtId="0" fontId="28" fillId="0" borderId="51" xfId="107" applyFont="1" applyFill="1" applyBorder="1" applyAlignment="1">
      <alignment wrapText="1"/>
      <protection/>
    </xf>
    <xf numFmtId="0" fontId="6" fillId="0" borderId="61" xfId="107" applyFont="1" applyFill="1" applyBorder="1" applyAlignment="1">
      <alignment horizontal="center"/>
      <protection/>
    </xf>
    <xf numFmtId="0" fontId="10" fillId="0" borderId="61" xfId="107" applyFont="1" applyFill="1" applyBorder="1">
      <alignment/>
      <protection/>
    </xf>
    <xf numFmtId="0" fontId="29" fillId="0" borderId="19" xfId="107" applyFont="1" applyFill="1" applyBorder="1" applyAlignment="1">
      <alignment horizontal="center" vertical="center"/>
      <protection/>
    </xf>
    <xf numFmtId="0" fontId="10" fillId="0" borderId="19" xfId="107" applyFont="1" applyFill="1" applyBorder="1">
      <alignment/>
      <protection/>
    </xf>
    <xf numFmtId="0" fontId="10" fillId="0" borderId="19" xfId="107" applyFont="1" applyFill="1" applyBorder="1" applyAlignment="1">
      <alignment horizontal="center"/>
      <protection/>
    </xf>
    <xf numFmtId="169" fontId="9" fillId="0" borderId="19" xfId="74" applyNumberFormat="1" applyFont="1" applyFill="1" applyBorder="1" applyAlignment="1">
      <alignment/>
    </xf>
    <xf numFmtId="0" fontId="31" fillId="47" borderId="0" xfId="101" applyFont="1" applyFill="1">
      <alignment/>
      <protection/>
    </xf>
    <xf numFmtId="0" fontId="32" fillId="47" borderId="0" xfId="101" applyFont="1" applyFill="1">
      <alignment/>
      <protection/>
    </xf>
    <xf numFmtId="0" fontId="7" fillId="47" borderId="0" xfId="107" applyFont="1" applyFill="1" applyBorder="1" applyAlignment="1">
      <alignment horizontal="center" vertical="center"/>
      <protection/>
    </xf>
    <xf numFmtId="0" fontId="36" fillId="47" borderId="62" xfId="108" applyFont="1" applyFill="1" applyBorder="1" applyAlignment="1">
      <alignment vertical="center" wrapText="1"/>
      <protection/>
    </xf>
    <xf numFmtId="0" fontId="34" fillId="47" borderId="19" xfId="107" applyFont="1" applyFill="1" applyBorder="1" applyAlignment="1">
      <alignment horizontal="center" wrapText="1"/>
      <protection/>
    </xf>
    <xf numFmtId="0" fontId="34" fillId="47" borderId="0" xfId="107" applyFont="1" applyFill="1" applyBorder="1" applyAlignment="1">
      <alignment horizontal="center" wrapText="1"/>
      <protection/>
    </xf>
    <xf numFmtId="0" fontId="7" fillId="47" borderId="0" xfId="107" applyFont="1" applyFill="1" applyBorder="1">
      <alignment/>
      <protection/>
    </xf>
    <xf numFmtId="0" fontId="31" fillId="47" borderId="63" xfId="101" applyFont="1" applyFill="1" applyBorder="1">
      <alignment/>
      <protection/>
    </xf>
    <xf numFmtId="0" fontId="32" fillId="47" borderId="64" xfId="101" applyFont="1" applyFill="1" applyBorder="1">
      <alignment/>
      <protection/>
    </xf>
    <xf numFmtId="3" fontId="32" fillId="47" borderId="65" xfId="101" applyNumberFormat="1" applyFont="1" applyFill="1" applyBorder="1">
      <alignment/>
      <protection/>
    </xf>
    <xf numFmtId="169" fontId="31" fillId="47" borderId="65" xfId="76" applyNumberFormat="1" applyFont="1" applyFill="1" applyBorder="1" applyAlignment="1">
      <alignment/>
    </xf>
    <xf numFmtId="169" fontId="32" fillId="47" borderId="65" xfId="76" applyNumberFormat="1" applyFont="1" applyFill="1" applyBorder="1" applyAlignment="1">
      <alignment/>
    </xf>
    <xf numFmtId="169" fontId="32" fillId="47" borderId="43" xfId="76" applyNumberFormat="1" applyFont="1" applyFill="1" applyBorder="1" applyAlignment="1">
      <alignment/>
    </xf>
    <xf numFmtId="0" fontId="32" fillId="47" borderId="66" xfId="101" applyFont="1" applyFill="1" applyBorder="1">
      <alignment/>
      <protection/>
    </xf>
    <xf numFmtId="0" fontId="32" fillId="47" borderId="43" xfId="101" applyFont="1" applyFill="1" applyBorder="1">
      <alignment/>
      <protection/>
    </xf>
    <xf numFmtId="0" fontId="32" fillId="47" borderId="22" xfId="101" applyFont="1" applyFill="1" applyBorder="1">
      <alignment/>
      <protection/>
    </xf>
    <xf numFmtId="3" fontId="32" fillId="47" borderId="67" xfId="101" applyNumberFormat="1" applyFont="1" applyFill="1" applyBorder="1" applyAlignment="1">
      <alignment/>
      <protection/>
    </xf>
    <xf numFmtId="0" fontId="32" fillId="47" borderId="68" xfId="101" applyFont="1" applyFill="1" applyBorder="1" applyAlignment="1">
      <alignment/>
      <protection/>
    </xf>
    <xf numFmtId="0" fontId="32" fillId="47" borderId="19" xfId="101" applyFont="1" applyFill="1" applyBorder="1">
      <alignment/>
      <protection/>
    </xf>
    <xf numFmtId="0" fontId="32" fillId="47" borderId="0" xfId="101" applyFont="1" applyFill="1" applyBorder="1" applyAlignment="1">
      <alignment/>
      <protection/>
    </xf>
    <xf numFmtId="0" fontId="32" fillId="47" borderId="65" xfId="101" applyFont="1" applyFill="1" applyBorder="1" applyAlignment="1">
      <alignment wrapText="1"/>
      <protection/>
    </xf>
    <xf numFmtId="0" fontId="32" fillId="47" borderId="69" xfId="101" applyFont="1" applyFill="1" applyBorder="1">
      <alignment/>
      <protection/>
    </xf>
    <xf numFmtId="0" fontId="32" fillId="47" borderId="70" xfId="101" applyFont="1" applyFill="1" applyBorder="1">
      <alignment/>
      <protection/>
    </xf>
    <xf numFmtId="3" fontId="32" fillId="47" borderId="70" xfId="101" applyNumberFormat="1" applyFont="1" applyFill="1" applyBorder="1">
      <alignment/>
      <protection/>
    </xf>
    <xf numFmtId="169" fontId="31" fillId="47" borderId="70" xfId="76" applyNumberFormat="1" applyFont="1" applyFill="1" applyBorder="1" applyAlignment="1">
      <alignment/>
    </xf>
    <xf numFmtId="169" fontId="32" fillId="47" borderId="70" xfId="76" applyNumberFormat="1" applyFont="1" applyFill="1" applyBorder="1" applyAlignment="1">
      <alignment/>
    </xf>
    <xf numFmtId="169" fontId="32" fillId="47" borderId="41" xfId="76" applyNumberFormat="1" applyFont="1" applyFill="1" applyBorder="1" applyAlignment="1">
      <alignment/>
    </xf>
    <xf numFmtId="0" fontId="32" fillId="47" borderId="71" xfId="101" applyFont="1" applyFill="1" applyBorder="1">
      <alignment/>
      <protection/>
    </xf>
    <xf numFmtId="3" fontId="32" fillId="47" borderId="72" xfId="101" applyNumberFormat="1" applyFont="1" applyFill="1" applyBorder="1">
      <alignment/>
      <protection/>
    </xf>
    <xf numFmtId="169" fontId="31" fillId="47" borderId="72" xfId="76" applyNumberFormat="1" applyFont="1" applyFill="1" applyBorder="1" applyAlignment="1">
      <alignment/>
    </xf>
    <xf numFmtId="169" fontId="32" fillId="47" borderId="72" xfId="76" applyNumberFormat="1" applyFont="1" applyFill="1" applyBorder="1" applyAlignment="1">
      <alignment/>
    </xf>
    <xf numFmtId="169" fontId="32" fillId="47" borderId="73" xfId="76" applyNumberFormat="1" applyFont="1" applyFill="1" applyBorder="1" applyAlignment="1">
      <alignment/>
    </xf>
    <xf numFmtId="0" fontId="32" fillId="47" borderId="23" xfId="101" applyFont="1" applyFill="1" applyBorder="1">
      <alignment/>
      <protection/>
    </xf>
    <xf numFmtId="169" fontId="31" fillId="47" borderId="67" xfId="76" applyNumberFormat="1" applyFont="1" applyFill="1" applyBorder="1" applyAlignment="1">
      <alignment/>
    </xf>
    <xf numFmtId="169" fontId="31" fillId="47" borderId="68" xfId="76" applyNumberFormat="1" applyFont="1" applyFill="1" applyBorder="1" applyAlignment="1">
      <alignment/>
    </xf>
    <xf numFmtId="0" fontId="31" fillId="47" borderId="73" xfId="101" applyFont="1" applyFill="1" applyBorder="1">
      <alignment/>
      <protection/>
    </xf>
    <xf numFmtId="169" fontId="32" fillId="47" borderId="65" xfId="101" applyNumberFormat="1" applyFont="1" applyFill="1" applyBorder="1" applyAlignment="1">
      <alignment/>
      <protection/>
    </xf>
    <xf numFmtId="169" fontId="32" fillId="47" borderId="43" xfId="101" applyNumberFormat="1" applyFont="1" applyFill="1" applyBorder="1" applyAlignment="1">
      <alignment/>
      <protection/>
    </xf>
    <xf numFmtId="0" fontId="32" fillId="47" borderId="65" xfId="101" applyFont="1" applyFill="1" applyBorder="1" applyAlignment="1">
      <alignment/>
      <protection/>
    </xf>
    <xf numFmtId="0" fontId="9" fillId="0" borderId="74" xfId="107" applyFont="1" applyFill="1" applyBorder="1" applyAlignment="1">
      <alignment horizontal="center"/>
      <protection/>
    </xf>
    <xf numFmtId="0" fontId="32" fillId="47" borderId="67" xfId="101" applyFont="1" applyFill="1" applyBorder="1" applyAlignment="1">
      <alignment wrapText="1"/>
      <protection/>
    </xf>
    <xf numFmtId="0" fontId="32" fillId="47" borderId="67" xfId="101" applyFont="1" applyFill="1" applyBorder="1" applyAlignment="1">
      <alignment horizontal="center"/>
      <protection/>
    </xf>
    <xf numFmtId="0" fontId="8" fillId="47" borderId="0" xfId="101" applyFont="1" applyFill="1" applyBorder="1" applyAlignment="1">
      <alignment wrapText="1"/>
      <protection/>
    </xf>
    <xf numFmtId="0" fontId="33" fillId="47" borderId="0" xfId="101" applyFont="1" applyFill="1" applyAlignment="1">
      <alignment horizontal="right"/>
      <protection/>
    </xf>
    <xf numFmtId="0" fontId="32" fillId="47" borderId="75" xfId="101" applyFont="1" applyFill="1" applyBorder="1" applyAlignment="1">
      <alignment wrapText="1"/>
      <protection/>
    </xf>
    <xf numFmtId="169" fontId="32" fillId="47" borderId="75" xfId="76" applyNumberFormat="1" applyFont="1" applyFill="1" applyBorder="1" applyAlignment="1">
      <alignment/>
    </xf>
    <xf numFmtId="0" fontId="40" fillId="47" borderId="0" xfId="101" applyFont="1" applyFill="1">
      <alignment/>
      <protection/>
    </xf>
    <xf numFmtId="0" fontId="31" fillId="47" borderId="72" xfId="101" applyFont="1" applyFill="1" applyBorder="1">
      <alignment/>
      <protection/>
    </xf>
    <xf numFmtId="0" fontId="31" fillId="47" borderId="76" xfId="101" applyFont="1" applyFill="1" applyBorder="1">
      <alignment/>
      <protection/>
    </xf>
    <xf numFmtId="169" fontId="32" fillId="47" borderId="0" xfId="76" applyNumberFormat="1" applyFont="1" applyFill="1" applyAlignment="1">
      <alignment/>
    </xf>
    <xf numFmtId="0" fontId="32" fillId="47" borderId="70" xfId="101" applyFont="1" applyFill="1" applyBorder="1" applyAlignment="1">
      <alignment/>
      <protection/>
    </xf>
    <xf numFmtId="0" fontId="32" fillId="47" borderId="77" xfId="101" applyFont="1" applyFill="1" applyBorder="1" applyAlignment="1">
      <alignment/>
      <protection/>
    </xf>
    <xf numFmtId="0" fontId="32" fillId="47" borderId="41" xfId="101" applyFont="1" applyFill="1" applyBorder="1" applyAlignment="1">
      <alignment/>
      <protection/>
    </xf>
    <xf numFmtId="169" fontId="32" fillId="47" borderId="42" xfId="101" applyNumberFormat="1" applyFont="1" applyFill="1" applyBorder="1">
      <alignment/>
      <protection/>
    </xf>
    <xf numFmtId="169" fontId="32" fillId="47" borderId="78" xfId="101" applyNumberFormat="1" applyFont="1" applyFill="1" applyBorder="1" applyAlignment="1">
      <alignment/>
      <protection/>
    </xf>
    <xf numFmtId="169" fontId="40" fillId="47" borderId="42" xfId="76" applyNumberFormat="1" applyFont="1" applyFill="1" applyBorder="1" applyAlignment="1">
      <alignment/>
    </xf>
    <xf numFmtId="0" fontId="32" fillId="47" borderId="78" xfId="101" applyFont="1" applyFill="1" applyBorder="1" applyAlignment="1">
      <alignment/>
      <protection/>
    </xf>
    <xf numFmtId="0" fontId="32" fillId="47" borderId="43" xfId="101" applyFont="1" applyFill="1" applyBorder="1" applyAlignment="1">
      <alignment/>
      <protection/>
    </xf>
    <xf numFmtId="3" fontId="31" fillId="47" borderId="72" xfId="101" applyNumberFormat="1" applyFont="1" applyFill="1" applyBorder="1" applyAlignment="1">
      <alignment/>
      <protection/>
    </xf>
    <xf numFmtId="0" fontId="7" fillId="47" borderId="0" xfId="101" applyFont="1" applyFill="1">
      <alignment/>
      <protection/>
    </xf>
    <xf numFmtId="0" fontId="6" fillId="47" borderId="0" xfId="101" applyFont="1" applyFill="1">
      <alignment/>
      <protection/>
    </xf>
    <xf numFmtId="0" fontId="9" fillId="47" borderId="0" xfId="101" applyFont="1" applyFill="1">
      <alignment/>
      <protection/>
    </xf>
    <xf numFmtId="0" fontId="6" fillId="47" borderId="79" xfId="107" applyFont="1" applyFill="1" applyBorder="1" applyAlignment="1">
      <alignment horizontal="center" vertical="center" wrapText="1"/>
      <protection/>
    </xf>
    <xf numFmtId="0" fontId="29" fillId="47" borderId="79" xfId="107" applyFont="1" applyFill="1" applyBorder="1" applyAlignment="1">
      <alignment horizontal="center" vertical="center"/>
      <protection/>
    </xf>
    <xf numFmtId="0" fontId="7" fillId="47" borderId="80" xfId="101" applyFont="1" applyFill="1" applyBorder="1" applyAlignment="1">
      <alignment horizontal="center" vertical="center"/>
      <protection/>
    </xf>
    <xf numFmtId="0" fontId="7" fillId="47" borderId="62" xfId="101" applyFont="1" applyFill="1" applyBorder="1">
      <alignment/>
      <protection/>
    </xf>
    <xf numFmtId="0" fontId="37" fillId="47" borderId="28" xfId="107" applyFont="1" applyFill="1" applyBorder="1" applyAlignment="1">
      <alignment horizontal="center" vertical="center"/>
      <protection/>
    </xf>
    <xf numFmtId="0" fontId="37" fillId="47" borderId="81" xfId="107" applyFont="1" applyFill="1" applyBorder="1" applyAlignment="1">
      <alignment horizontal="center" vertical="center"/>
      <protection/>
    </xf>
    <xf numFmtId="0" fontId="7" fillId="47" borderId="82" xfId="101" applyFont="1" applyFill="1" applyBorder="1" applyAlignment="1">
      <alignment horizontal="center" vertical="center"/>
      <protection/>
    </xf>
    <xf numFmtId="0" fontId="37" fillId="47" borderId="83" xfId="107" applyFont="1" applyFill="1" applyBorder="1" applyAlignment="1">
      <alignment horizontal="center" vertical="center"/>
      <protection/>
    </xf>
    <xf numFmtId="0" fontId="37" fillId="47" borderId="40" xfId="107" applyFont="1" applyFill="1" applyBorder="1" applyAlignment="1">
      <alignment horizontal="center" vertical="center"/>
      <protection/>
    </xf>
    <xf numFmtId="167" fontId="9" fillId="47" borderId="40" xfId="76" applyNumberFormat="1" applyFont="1" applyFill="1" applyBorder="1" applyAlignment="1" applyProtection="1">
      <alignment/>
      <protection/>
    </xf>
    <xf numFmtId="0" fontId="7" fillId="47" borderId="84" xfId="101" applyFont="1" applyFill="1" applyBorder="1" applyAlignment="1">
      <alignment horizontal="center" vertical="center"/>
      <protection/>
    </xf>
    <xf numFmtId="0" fontId="7" fillId="47" borderId="85" xfId="101" applyFont="1" applyFill="1" applyBorder="1" applyAlignment="1">
      <alignment horizontal="center" vertical="center"/>
      <protection/>
    </xf>
    <xf numFmtId="0" fontId="10" fillId="47" borderId="19" xfId="101" applyFont="1" applyFill="1" applyBorder="1">
      <alignment/>
      <protection/>
    </xf>
    <xf numFmtId="0" fontId="37" fillId="47" borderId="86" xfId="107" applyFont="1" applyFill="1" applyBorder="1" applyAlignment="1">
      <alignment horizontal="center" vertical="center"/>
      <protection/>
    </xf>
    <xf numFmtId="0" fontId="37" fillId="47" borderId="29" xfId="107" applyFont="1" applyFill="1" applyBorder="1" applyAlignment="1">
      <alignment horizontal="center" vertical="center"/>
      <protection/>
    </xf>
    <xf numFmtId="167" fontId="9" fillId="47" borderId="29" xfId="76" applyNumberFormat="1" applyFont="1" applyFill="1" applyBorder="1" applyAlignment="1" applyProtection="1">
      <alignment/>
      <protection/>
    </xf>
    <xf numFmtId="0" fontId="7" fillId="47" borderId="87" xfId="101" applyFont="1" applyFill="1" applyBorder="1" applyAlignment="1">
      <alignment horizontal="center" vertical="center"/>
      <protection/>
    </xf>
    <xf numFmtId="0" fontId="37" fillId="47" borderId="20" xfId="107" applyFont="1" applyFill="1" applyBorder="1" applyAlignment="1">
      <alignment horizontal="center" vertical="center"/>
      <protection/>
    </xf>
    <xf numFmtId="0" fontId="37" fillId="47" borderId="32" xfId="107" applyFont="1" applyFill="1" applyBorder="1" applyAlignment="1">
      <alignment horizontal="center" vertical="center"/>
      <protection/>
    </xf>
    <xf numFmtId="0" fontId="9" fillId="47" borderId="32" xfId="107" applyFont="1" applyFill="1" applyBorder="1">
      <alignment/>
      <protection/>
    </xf>
    <xf numFmtId="167" fontId="9" fillId="47" borderId="32" xfId="76" applyNumberFormat="1" applyFont="1" applyFill="1" applyBorder="1" applyAlignment="1" applyProtection="1">
      <alignment/>
      <protection/>
    </xf>
    <xf numFmtId="0" fontId="37" fillId="47" borderId="88" xfId="107" applyFont="1" applyFill="1" applyBorder="1" applyAlignment="1">
      <alignment horizontal="center" vertical="center"/>
      <protection/>
    </xf>
    <xf numFmtId="0" fontId="37" fillId="47" borderId="35" xfId="107" applyFont="1" applyFill="1" applyBorder="1" applyAlignment="1">
      <alignment horizontal="center" vertical="center"/>
      <protection/>
    </xf>
    <xf numFmtId="0" fontId="7" fillId="47" borderId="89" xfId="101" applyFont="1" applyFill="1" applyBorder="1" applyAlignment="1">
      <alignment horizontal="center" vertical="center"/>
      <protection/>
    </xf>
    <xf numFmtId="167" fontId="29" fillId="47" borderId="19" xfId="76" applyNumberFormat="1" applyFont="1" applyFill="1" applyBorder="1" applyAlignment="1" applyProtection="1">
      <alignment vertical="center"/>
      <protection/>
    </xf>
    <xf numFmtId="0" fontId="11" fillId="47" borderId="19" xfId="101" applyFont="1" applyFill="1" applyBorder="1">
      <alignment/>
      <protection/>
    </xf>
    <xf numFmtId="3" fontId="9" fillId="47" borderId="0" xfId="101" applyNumberFormat="1" applyFont="1" applyFill="1" applyBorder="1">
      <alignment/>
      <protection/>
    </xf>
    <xf numFmtId="0" fontId="43" fillId="47" borderId="77" xfId="101" applyFont="1" applyFill="1" applyBorder="1" applyAlignment="1">
      <alignment/>
      <protection/>
    </xf>
    <xf numFmtId="0" fontId="43" fillId="47" borderId="42" xfId="101" applyFont="1" applyFill="1" applyBorder="1" applyAlignment="1">
      <alignment/>
      <protection/>
    </xf>
    <xf numFmtId="169" fontId="32" fillId="47" borderId="0" xfId="101" applyNumberFormat="1" applyFont="1" applyFill="1" applyBorder="1">
      <alignment/>
      <protection/>
    </xf>
    <xf numFmtId="0" fontId="43" fillId="47" borderId="0" xfId="101" applyFont="1" applyFill="1" applyBorder="1" applyAlignment="1">
      <alignment/>
      <protection/>
    </xf>
    <xf numFmtId="167" fontId="43" fillId="47" borderId="78" xfId="101" applyNumberFormat="1" applyFont="1" applyFill="1" applyBorder="1" applyAlignment="1">
      <alignment/>
      <protection/>
    </xf>
    <xf numFmtId="169" fontId="40" fillId="47" borderId="0" xfId="76" applyNumberFormat="1" applyFont="1" applyFill="1" applyBorder="1" applyAlignment="1">
      <alignment/>
    </xf>
    <xf numFmtId="0" fontId="43" fillId="47" borderId="90" xfId="101" applyFont="1" applyFill="1" applyBorder="1" applyAlignment="1">
      <alignment/>
      <protection/>
    </xf>
    <xf numFmtId="3" fontId="44" fillId="47" borderId="91" xfId="101" applyNumberFormat="1" applyFont="1" applyFill="1" applyBorder="1" applyAlignment="1">
      <alignment/>
      <protection/>
    </xf>
    <xf numFmtId="0" fontId="45" fillId="47" borderId="0" xfId="101" applyFont="1" applyFill="1" applyAlignment="1">
      <alignment horizontal="justify"/>
      <protection/>
    </xf>
    <xf numFmtId="0" fontId="46" fillId="47" borderId="0" xfId="101" applyFont="1" applyFill="1" applyAlignment="1">
      <alignment horizontal="justify"/>
      <protection/>
    </xf>
    <xf numFmtId="0" fontId="9" fillId="47" borderId="19" xfId="101" applyFont="1" applyFill="1" applyBorder="1">
      <alignment/>
      <protection/>
    </xf>
    <xf numFmtId="167" fontId="6" fillId="47" borderId="32" xfId="76" applyNumberFormat="1" applyFont="1" applyFill="1" applyBorder="1" applyAlignment="1" applyProtection="1">
      <alignment/>
      <protection/>
    </xf>
    <xf numFmtId="0" fontId="9" fillId="47" borderId="32" xfId="107" applyFont="1" applyFill="1" applyBorder="1" applyAlignment="1">
      <alignment wrapText="1"/>
      <protection/>
    </xf>
    <xf numFmtId="0" fontId="10" fillId="47" borderId="92" xfId="101" applyFont="1" applyFill="1" applyBorder="1">
      <alignment/>
      <protection/>
    </xf>
    <xf numFmtId="167" fontId="47" fillId="47" borderId="79" xfId="76" applyNumberFormat="1" applyFont="1" applyFill="1" applyBorder="1" applyAlignment="1" applyProtection="1">
      <alignment/>
      <protection/>
    </xf>
    <xf numFmtId="0" fontId="37" fillId="47" borderId="93" xfId="107" applyFont="1" applyFill="1" applyBorder="1" applyAlignment="1">
      <alignment horizontal="center" vertical="center"/>
      <protection/>
    </xf>
    <xf numFmtId="0" fontId="37" fillId="47" borderId="79" xfId="107" applyFont="1" applyFill="1" applyBorder="1" applyAlignment="1">
      <alignment horizontal="center" vertical="center"/>
      <protection/>
    </xf>
    <xf numFmtId="0" fontId="9" fillId="47" borderId="79" xfId="107" applyFont="1" applyFill="1" applyBorder="1">
      <alignment/>
      <protection/>
    </xf>
    <xf numFmtId="167" fontId="6" fillId="47" borderId="79" xfId="76" applyNumberFormat="1" applyFont="1" applyFill="1" applyBorder="1" applyAlignment="1" applyProtection="1">
      <alignment/>
      <protection/>
    </xf>
    <xf numFmtId="167" fontId="9" fillId="47" borderId="79" xfId="76" applyNumberFormat="1" applyFont="1" applyFill="1" applyBorder="1" applyAlignment="1" applyProtection="1">
      <alignment/>
      <protection/>
    </xf>
    <xf numFmtId="0" fontId="10" fillId="47" borderId="85" xfId="101" applyFont="1" applyFill="1" applyBorder="1" applyAlignment="1">
      <alignment horizontal="center" vertical="center"/>
      <protection/>
    </xf>
    <xf numFmtId="0" fontId="7" fillId="47" borderId="20" xfId="107" applyFont="1" applyFill="1" applyBorder="1" applyAlignment="1">
      <alignment horizontal="center"/>
      <protection/>
    </xf>
    <xf numFmtId="0" fontId="7" fillId="47" borderId="32" xfId="107" applyFont="1" applyFill="1" applyBorder="1" applyAlignment="1">
      <alignment horizontal="center"/>
      <protection/>
    </xf>
    <xf numFmtId="0" fontId="7" fillId="47" borderId="93" xfId="107" applyFont="1" applyFill="1" applyBorder="1" applyAlignment="1">
      <alignment horizontal="center"/>
      <protection/>
    </xf>
    <xf numFmtId="0" fontId="7" fillId="47" borderId="79" xfId="107" applyFont="1" applyFill="1" applyBorder="1" applyAlignment="1">
      <alignment horizontal="center"/>
      <protection/>
    </xf>
    <xf numFmtId="0" fontId="9" fillId="47" borderId="79" xfId="107" applyFont="1" applyFill="1" applyBorder="1" applyAlignment="1">
      <alignment wrapText="1"/>
      <protection/>
    </xf>
    <xf numFmtId="0" fontId="7" fillId="47" borderId="19" xfId="101" applyFont="1" applyFill="1" applyBorder="1">
      <alignment/>
      <protection/>
    </xf>
    <xf numFmtId="0" fontId="28" fillId="47" borderId="35" xfId="107" applyFont="1" applyFill="1" applyBorder="1" applyAlignment="1">
      <alignment horizontal="center"/>
      <protection/>
    </xf>
    <xf numFmtId="0" fontId="10" fillId="47" borderId="19" xfId="101" applyFont="1" applyFill="1" applyBorder="1" applyAlignment="1">
      <alignment horizontal="center" wrapText="1"/>
      <protection/>
    </xf>
    <xf numFmtId="0" fontId="28" fillId="47" borderId="0" xfId="101" applyFont="1" applyFill="1">
      <alignment/>
      <protection/>
    </xf>
    <xf numFmtId="0" fontId="37" fillId="47" borderId="94" xfId="107" applyFont="1" applyFill="1" applyBorder="1" applyAlignment="1">
      <alignment horizontal="center" vertical="center"/>
      <protection/>
    </xf>
    <xf numFmtId="0" fontId="37" fillId="47" borderId="95" xfId="107" applyFont="1" applyFill="1" applyBorder="1" applyAlignment="1">
      <alignment horizontal="center" vertical="center"/>
      <protection/>
    </xf>
    <xf numFmtId="0" fontId="9" fillId="47" borderId="95" xfId="107" applyFont="1" applyFill="1" applyBorder="1">
      <alignment/>
      <protection/>
    </xf>
    <xf numFmtId="167" fontId="6" fillId="47" borderId="96" xfId="107" applyNumberFormat="1" applyFont="1" applyFill="1" applyBorder="1">
      <alignment/>
      <protection/>
    </xf>
    <xf numFmtId="167" fontId="7" fillId="47" borderId="19" xfId="101" applyNumberFormat="1" applyFont="1" applyFill="1" applyBorder="1">
      <alignment/>
      <protection/>
    </xf>
    <xf numFmtId="167" fontId="7" fillId="47" borderId="0" xfId="101" applyNumberFormat="1" applyFont="1" applyFill="1">
      <alignment/>
      <protection/>
    </xf>
    <xf numFmtId="0" fontId="8" fillId="47" borderId="19" xfId="107" applyFont="1" applyFill="1" applyBorder="1" applyAlignment="1">
      <alignment horizontal="center" vertical="center" wrapText="1"/>
      <protection/>
    </xf>
    <xf numFmtId="0" fontId="6" fillId="47" borderId="62" xfId="101" applyFont="1" applyFill="1" applyBorder="1">
      <alignment/>
      <protection/>
    </xf>
    <xf numFmtId="169" fontId="9" fillId="47" borderId="62" xfId="76" applyNumberFormat="1" applyFont="1" applyFill="1" applyBorder="1" applyAlignment="1">
      <alignment/>
    </xf>
    <xf numFmtId="0" fontId="7" fillId="47" borderId="97" xfId="101" applyFont="1" applyFill="1" applyBorder="1">
      <alignment/>
      <protection/>
    </xf>
    <xf numFmtId="0" fontId="6" fillId="47" borderId="19" xfId="101" applyFont="1" applyFill="1" applyBorder="1">
      <alignment/>
      <protection/>
    </xf>
    <xf numFmtId="169" fontId="9" fillId="47" borderId="19" xfId="76" applyNumberFormat="1" applyFont="1" applyFill="1" applyBorder="1" applyAlignment="1">
      <alignment/>
    </xf>
    <xf numFmtId="0" fontId="11" fillId="47" borderId="97" xfId="101" applyFont="1" applyFill="1" applyBorder="1" applyAlignment="1">
      <alignment horizontal="center"/>
      <protection/>
    </xf>
    <xf numFmtId="0" fontId="11" fillId="47" borderId="98" xfId="101" applyFont="1" applyFill="1" applyBorder="1" applyAlignment="1">
      <alignment horizontal="center"/>
      <protection/>
    </xf>
    <xf numFmtId="0" fontId="6" fillId="47" borderId="19" xfId="101" applyFont="1" applyFill="1" applyBorder="1" applyAlignment="1">
      <alignment horizontal="center"/>
      <protection/>
    </xf>
    <xf numFmtId="169" fontId="6" fillId="47" borderId="19" xfId="76" applyNumberFormat="1" applyFont="1" applyFill="1" applyBorder="1" applyAlignment="1">
      <alignment/>
    </xf>
    <xf numFmtId="0" fontId="6" fillId="47" borderId="0" xfId="107" applyFont="1" applyFill="1" applyBorder="1" applyAlignment="1">
      <alignment horizontal="center"/>
      <protection/>
    </xf>
    <xf numFmtId="0" fontId="6" fillId="47" borderId="0" xfId="107" applyFont="1" applyFill="1" applyBorder="1" applyAlignment="1">
      <alignment wrapText="1"/>
      <protection/>
    </xf>
    <xf numFmtId="167" fontId="6" fillId="47" borderId="0" xfId="107" applyNumberFormat="1" applyFont="1" applyFill="1" applyBorder="1">
      <alignment/>
      <protection/>
    </xf>
    <xf numFmtId="0" fontId="43" fillId="47" borderId="70" xfId="101" applyFont="1" applyFill="1" applyBorder="1" applyAlignment="1">
      <alignment/>
      <protection/>
    </xf>
    <xf numFmtId="167" fontId="43" fillId="47" borderId="65" xfId="101" applyNumberFormat="1" applyFont="1" applyFill="1" applyBorder="1" applyAlignment="1">
      <alignment/>
      <protection/>
    </xf>
    <xf numFmtId="0" fontId="43" fillId="47" borderId="75" xfId="101" applyFont="1" applyFill="1" applyBorder="1" applyAlignment="1">
      <alignment/>
      <protection/>
    </xf>
    <xf numFmtId="3" fontId="44" fillId="47" borderId="67" xfId="101" applyNumberFormat="1" applyFont="1" applyFill="1" applyBorder="1" applyAlignment="1">
      <alignment/>
      <protection/>
    </xf>
    <xf numFmtId="3" fontId="44" fillId="47" borderId="68" xfId="101" applyNumberFormat="1" applyFont="1" applyFill="1" applyBorder="1" applyAlignment="1">
      <alignment/>
      <protection/>
    </xf>
    <xf numFmtId="0" fontId="7" fillId="47" borderId="0" xfId="101" applyFont="1" applyFill="1" applyBorder="1">
      <alignment/>
      <protection/>
    </xf>
    <xf numFmtId="0" fontId="43" fillId="47" borderId="45" xfId="101" applyFont="1" applyFill="1" applyBorder="1" applyAlignment="1">
      <alignment horizontal="left" textRotation="90"/>
      <protection/>
    </xf>
    <xf numFmtId="0" fontId="43" fillId="47" borderId="45" xfId="101" applyFont="1" applyFill="1" applyBorder="1" applyAlignment="1">
      <alignment horizontal="center" vertical="center"/>
      <protection/>
    </xf>
    <xf numFmtId="0" fontId="43" fillId="47" borderId="19" xfId="101" applyFont="1" applyFill="1" applyBorder="1" applyAlignment="1">
      <alignment horizontal="center" vertical="center" wrapText="1"/>
      <protection/>
    </xf>
    <xf numFmtId="0" fontId="43" fillId="47" borderId="45" xfId="101" applyFont="1" applyFill="1" applyBorder="1" applyAlignment="1">
      <alignment horizontal="left"/>
      <protection/>
    </xf>
    <xf numFmtId="167" fontId="5" fillId="47" borderId="45" xfId="76" applyNumberFormat="1" applyFont="1" applyFill="1" applyBorder="1" applyAlignment="1">
      <alignment horizontal="right"/>
    </xf>
    <xf numFmtId="0" fontId="36" fillId="47" borderId="19" xfId="107" applyFont="1" applyFill="1" applyBorder="1" applyAlignment="1">
      <alignment vertical="center" wrapText="1"/>
      <protection/>
    </xf>
    <xf numFmtId="0" fontId="43" fillId="47" borderId="99" xfId="101" applyFont="1" applyFill="1" applyBorder="1" applyAlignment="1">
      <alignment horizontal="left"/>
      <protection/>
    </xf>
    <xf numFmtId="167" fontId="44" fillId="47" borderId="100" xfId="101" applyNumberFormat="1" applyFont="1" applyFill="1" applyBorder="1" applyAlignment="1">
      <alignment horizontal="left"/>
      <protection/>
    </xf>
    <xf numFmtId="0" fontId="43" fillId="47" borderId="39" xfId="101" applyFont="1" applyFill="1" applyBorder="1" applyAlignment="1">
      <alignment horizontal="center"/>
      <protection/>
    </xf>
    <xf numFmtId="0" fontId="43" fillId="47" borderId="39" xfId="101" applyFont="1" applyFill="1" applyBorder="1" applyAlignment="1">
      <alignment horizontal="left"/>
      <protection/>
    </xf>
    <xf numFmtId="167" fontId="43" fillId="47" borderId="39" xfId="101" applyNumberFormat="1" applyFont="1" applyFill="1" applyBorder="1" applyAlignment="1">
      <alignment horizontal="left"/>
      <protection/>
    </xf>
    <xf numFmtId="0" fontId="43" fillId="47" borderId="0" xfId="101" applyFont="1" applyFill="1" applyBorder="1" applyAlignment="1">
      <alignment horizontal="left"/>
      <protection/>
    </xf>
    <xf numFmtId="0" fontId="43" fillId="47" borderId="19" xfId="101" applyFont="1" applyFill="1" applyBorder="1" applyAlignment="1">
      <alignment horizontal="center" wrapText="1"/>
      <protection/>
    </xf>
    <xf numFmtId="0" fontId="43" fillId="47" borderId="100" xfId="101" applyFont="1" applyFill="1" applyBorder="1" applyAlignment="1">
      <alignment horizontal="left"/>
      <protection/>
    </xf>
    <xf numFmtId="167" fontId="5" fillId="47" borderId="100" xfId="76" applyNumberFormat="1" applyFont="1" applyFill="1" applyBorder="1" applyAlignment="1">
      <alignment horizontal="right"/>
    </xf>
    <xf numFmtId="0" fontId="43" fillId="47" borderId="19" xfId="101" applyFont="1" applyFill="1" applyBorder="1" applyAlignment="1">
      <alignment/>
      <protection/>
    </xf>
    <xf numFmtId="167" fontId="49" fillId="47" borderId="45" xfId="76" applyNumberFormat="1" applyFont="1" applyFill="1" applyBorder="1" applyAlignment="1">
      <alignment horizontal="right"/>
    </xf>
    <xf numFmtId="0" fontId="6" fillId="47" borderId="93" xfId="107" applyFont="1" applyFill="1" applyBorder="1" applyAlignment="1">
      <alignment horizontal="center" vertical="center"/>
      <protection/>
    </xf>
    <xf numFmtId="0" fontId="6" fillId="47" borderId="45" xfId="107" applyFont="1" applyFill="1" applyBorder="1" applyAlignment="1">
      <alignment horizontal="center" vertical="center"/>
      <protection/>
    </xf>
    <xf numFmtId="0" fontId="44" fillId="47" borderId="45" xfId="101" applyFont="1" applyFill="1" applyBorder="1" applyAlignment="1">
      <alignment horizontal="left"/>
      <protection/>
    </xf>
    <xf numFmtId="167" fontId="47" fillId="47" borderId="99" xfId="76" applyNumberFormat="1" applyFont="1" applyFill="1" applyBorder="1" applyAlignment="1" applyProtection="1">
      <alignment/>
      <protection/>
    </xf>
    <xf numFmtId="0" fontId="7" fillId="47" borderId="19" xfId="101" applyFont="1" applyFill="1" applyBorder="1" applyAlignment="1">
      <alignment horizontal="center" vertical="center"/>
      <protection/>
    </xf>
    <xf numFmtId="0" fontId="7" fillId="47" borderId="39" xfId="107" applyFont="1" applyFill="1" applyBorder="1" applyAlignment="1">
      <alignment horizontal="center"/>
      <protection/>
    </xf>
    <xf numFmtId="0" fontId="6" fillId="47" borderId="39" xfId="107" applyFont="1" applyFill="1" applyBorder="1">
      <alignment/>
      <protection/>
    </xf>
    <xf numFmtId="167" fontId="9" fillId="47" borderId="39" xfId="76" applyNumberFormat="1" applyFont="1" applyFill="1" applyBorder="1" applyAlignment="1" applyProtection="1">
      <alignment/>
      <protection/>
    </xf>
    <xf numFmtId="0" fontId="43" fillId="47" borderId="0" xfId="101" applyFont="1" applyFill="1" applyBorder="1" applyAlignment="1">
      <alignment horizontal="left" vertical="center" wrapText="1"/>
      <protection/>
    </xf>
    <xf numFmtId="0" fontId="11" fillId="0" borderId="19" xfId="96" applyFont="1" applyFill="1" applyBorder="1">
      <alignment/>
      <protection/>
    </xf>
    <xf numFmtId="0" fontId="32" fillId="47" borderId="65" xfId="101" applyFont="1" applyFill="1" applyBorder="1" applyAlignment="1">
      <alignment horizontal="left" wrapText="1"/>
      <protection/>
    </xf>
    <xf numFmtId="0" fontId="32" fillId="47" borderId="75" xfId="101" applyFont="1" applyFill="1" applyBorder="1" applyAlignment="1">
      <alignment horizontal="left" wrapText="1"/>
      <protection/>
    </xf>
    <xf numFmtId="169" fontId="31" fillId="47" borderId="101" xfId="101" applyNumberFormat="1" applyFont="1" applyFill="1" applyBorder="1">
      <alignment/>
      <protection/>
    </xf>
    <xf numFmtId="3" fontId="32" fillId="47" borderId="102" xfId="101" applyNumberFormat="1" applyFont="1" applyFill="1" applyBorder="1" applyAlignment="1">
      <alignment/>
      <protection/>
    </xf>
    <xf numFmtId="0" fontId="8" fillId="47" borderId="0" xfId="101" applyFont="1" applyFill="1" applyBorder="1" applyAlignment="1">
      <alignment horizontal="left" wrapText="1"/>
      <protection/>
    </xf>
    <xf numFmtId="169" fontId="31" fillId="47" borderId="103" xfId="101" applyNumberFormat="1" applyFont="1" applyFill="1" applyBorder="1">
      <alignment/>
      <protection/>
    </xf>
    <xf numFmtId="169" fontId="32" fillId="47" borderId="0" xfId="101" applyNumberFormat="1" applyFont="1" applyFill="1" applyBorder="1" applyAlignment="1">
      <alignment/>
      <protection/>
    </xf>
    <xf numFmtId="0" fontId="31" fillId="47" borderId="104" xfId="101" applyFont="1" applyFill="1" applyBorder="1">
      <alignment/>
      <protection/>
    </xf>
    <xf numFmtId="0" fontId="32" fillId="47" borderId="72" xfId="101" applyFont="1" applyFill="1" applyBorder="1" applyAlignment="1">
      <alignment wrapText="1"/>
      <protection/>
    </xf>
    <xf numFmtId="0" fontId="31" fillId="47" borderId="105" xfId="101" applyFont="1" applyFill="1" applyBorder="1">
      <alignment/>
      <protection/>
    </xf>
    <xf numFmtId="3" fontId="31" fillId="47" borderId="0" xfId="101" applyNumberFormat="1" applyFont="1" applyFill="1" applyBorder="1" applyAlignment="1">
      <alignment/>
      <protection/>
    </xf>
    <xf numFmtId="0" fontId="31" fillId="47" borderId="62" xfId="101" applyFont="1" applyFill="1" applyBorder="1">
      <alignment/>
      <protection/>
    </xf>
    <xf numFmtId="0" fontId="32" fillId="47" borderId="102" xfId="101" applyFont="1" applyFill="1" applyBorder="1">
      <alignment/>
      <protection/>
    </xf>
    <xf numFmtId="0" fontId="32" fillId="47" borderId="67" xfId="101" applyFont="1" applyFill="1" applyBorder="1">
      <alignment/>
      <protection/>
    </xf>
    <xf numFmtId="169" fontId="32" fillId="47" borderId="67" xfId="76" applyNumberFormat="1" applyFont="1" applyFill="1" applyBorder="1" applyAlignment="1">
      <alignment/>
    </xf>
    <xf numFmtId="169" fontId="32" fillId="47" borderId="91" xfId="76" applyNumberFormat="1" applyFont="1" applyFill="1" applyBorder="1" applyAlignment="1">
      <alignment/>
    </xf>
    <xf numFmtId="167" fontId="43" fillId="47" borderId="0" xfId="101" applyNumberFormat="1" applyFont="1" applyFill="1" applyBorder="1" applyAlignment="1">
      <alignment/>
      <protection/>
    </xf>
    <xf numFmtId="3" fontId="44" fillId="47" borderId="0" xfId="101" applyNumberFormat="1" applyFont="1" applyFill="1" applyBorder="1" applyAlignment="1">
      <alignment/>
      <protection/>
    </xf>
    <xf numFmtId="0" fontId="7" fillId="47" borderId="106" xfId="101" applyFont="1" applyFill="1" applyBorder="1" applyAlignment="1">
      <alignment horizontal="center" vertical="center"/>
      <protection/>
    </xf>
    <xf numFmtId="0" fontId="9" fillId="47" borderId="107" xfId="107" applyFont="1" applyFill="1" applyBorder="1">
      <alignment/>
      <protection/>
    </xf>
    <xf numFmtId="0" fontId="9" fillId="47" borderId="108" xfId="107" applyFont="1" applyFill="1" applyBorder="1">
      <alignment/>
      <protection/>
    </xf>
    <xf numFmtId="0" fontId="29" fillId="47" borderId="109" xfId="107" applyFont="1" applyFill="1" applyBorder="1" applyAlignment="1">
      <alignment horizontal="center" vertical="center"/>
      <protection/>
    </xf>
    <xf numFmtId="0" fontId="9" fillId="47" borderId="30" xfId="107" applyFont="1" applyFill="1" applyBorder="1">
      <alignment/>
      <protection/>
    </xf>
    <xf numFmtId="0" fontId="9" fillId="47" borderId="33" xfId="107" applyFont="1" applyFill="1" applyBorder="1">
      <alignment/>
      <protection/>
    </xf>
    <xf numFmtId="0" fontId="9" fillId="47" borderId="110" xfId="107" applyFont="1" applyFill="1" applyBorder="1">
      <alignment/>
      <protection/>
    </xf>
    <xf numFmtId="167" fontId="9" fillId="47" borderId="111" xfId="76" applyNumberFormat="1" applyFont="1" applyFill="1" applyBorder="1" applyAlignment="1" applyProtection="1">
      <alignment/>
      <protection/>
    </xf>
    <xf numFmtId="167" fontId="9" fillId="47" borderId="48" xfId="76" applyNumberFormat="1" applyFont="1" applyFill="1" applyBorder="1" applyAlignment="1" applyProtection="1">
      <alignment/>
      <protection/>
    </xf>
    <xf numFmtId="167" fontId="9" fillId="47" borderId="50" xfId="76" applyNumberFormat="1" applyFont="1" applyFill="1" applyBorder="1" applyAlignment="1" applyProtection="1">
      <alignment/>
      <protection/>
    </xf>
    <xf numFmtId="169" fontId="9" fillId="47" borderId="112" xfId="76" applyNumberFormat="1" applyFont="1" applyFill="1" applyBorder="1" applyAlignment="1">
      <alignment/>
    </xf>
    <xf numFmtId="169" fontId="9" fillId="47" borderId="97" xfId="76" applyNumberFormat="1" applyFont="1" applyFill="1" applyBorder="1" applyAlignment="1">
      <alignment/>
    </xf>
    <xf numFmtId="167" fontId="43" fillId="47" borderId="0" xfId="101" applyNumberFormat="1" applyFont="1" applyFill="1" applyBorder="1" applyAlignment="1">
      <alignment horizontal="left"/>
      <protection/>
    </xf>
    <xf numFmtId="167" fontId="9" fillId="47" borderId="0" xfId="76" applyNumberFormat="1" applyFont="1" applyFill="1" applyBorder="1" applyAlignment="1" applyProtection="1">
      <alignment/>
      <protection/>
    </xf>
    <xf numFmtId="0" fontId="7" fillId="47" borderId="85" xfId="101" applyFont="1" applyFill="1" applyBorder="1">
      <alignment/>
      <protection/>
    </xf>
    <xf numFmtId="167" fontId="28" fillId="47" borderId="79" xfId="76" applyNumberFormat="1" applyFont="1" applyFill="1" applyBorder="1" applyAlignment="1" applyProtection="1">
      <alignment/>
      <protection/>
    </xf>
    <xf numFmtId="167" fontId="47" fillId="47" borderId="96" xfId="76" applyNumberFormat="1" applyFont="1" applyFill="1" applyBorder="1" applyAlignment="1" applyProtection="1">
      <alignment/>
      <protection/>
    </xf>
    <xf numFmtId="167" fontId="47" fillId="47" borderId="109" xfId="76" applyNumberFormat="1" applyFont="1" applyFill="1" applyBorder="1" applyAlignment="1" applyProtection="1">
      <alignment/>
      <protection/>
    </xf>
    <xf numFmtId="0" fontId="7" fillId="47" borderId="113" xfId="101" applyFont="1" applyFill="1" applyBorder="1" applyAlignment="1">
      <alignment horizontal="center" vertical="center"/>
      <protection/>
    </xf>
    <xf numFmtId="167" fontId="9" fillId="47" borderId="109" xfId="76" applyNumberFormat="1" applyFont="1" applyFill="1" applyBorder="1" applyAlignment="1" applyProtection="1">
      <alignment/>
      <protection/>
    </xf>
    <xf numFmtId="167" fontId="6" fillId="47" borderId="114" xfId="107" applyNumberFormat="1" applyFont="1" applyFill="1" applyBorder="1">
      <alignment/>
      <protection/>
    </xf>
    <xf numFmtId="0" fontId="7" fillId="47" borderId="115" xfId="101" applyFont="1" applyFill="1" applyBorder="1" applyAlignment="1">
      <alignment horizontal="center" vertical="center"/>
      <protection/>
    </xf>
    <xf numFmtId="0" fontId="10" fillId="47" borderId="115" xfId="101" applyFont="1" applyFill="1" applyBorder="1" applyAlignment="1">
      <alignment horizontal="center" vertical="center"/>
      <protection/>
    </xf>
    <xf numFmtId="0" fontId="7" fillId="47" borderId="115" xfId="101" applyFont="1" applyFill="1" applyBorder="1">
      <alignment/>
      <protection/>
    </xf>
    <xf numFmtId="167" fontId="5" fillId="47" borderId="19" xfId="76" applyNumberFormat="1" applyFont="1" applyFill="1" applyBorder="1" applyAlignment="1">
      <alignment horizontal="right"/>
    </xf>
    <xf numFmtId="167" fontId="47" fillId="47" borderId="45" xfId="76" applyNumberFormat="1" applyFont="1" applyFill="1" applyBorder="1" applyAlignment="1" applyProtection="1">
      <alignment/>
      <protection/>
    </xf>
    <xf numFmtId="167" fontId="47" fillId="47" borderId="19" xfId="76" applyNumberFormat="1" applyFont="1" applyFill="1" applyBorder="1" applyAlignment="1" applyProtection="1">
      <alignment/>
      <protection/>
    </xf>
    <xf numFmtId="167" fontId="48" fillId="0" borderId="0" xfId="101" applyNumberFormat="1" applyFont="1" applyBorder="1" applyAlignment="1">
      <alignment/>
      <protection/>
    </xf>
    <xf numFmtId="3" fontId="52" fillId="0" borderId="42" xfId="101" applyNumberFormat="1" applyFont="1" applyBorder="1" applyAlignment="1">
      <alignment/>
      <protection/>
    </xf>
    <xf numFmtId="0" fontId="6" fillId="0" borderId="19" xfId="107" applyFont="1" applyFill="1" applyBorder="1" applyAlignment="1">
      <alignment horizontal="center" vertical="center" wrapText="1"/>
      <protection/>
    </xf>
    <xf numFmtId="0" fontId="8" fillId="0" borderId="19" xfId="107" applyFont="1" applyFill="1" applyBorder="1" applyAlignment="1">
      <alignment horizontal="center" vertical="center" wrapText="1"/>
      <protection/>
    </xf>
    <xf numFmtId="0" fontId="11" fillId="47" borderId="19" xfId="107" applyFont="1" applyFill="1" applyBorder="1" applyAlignment="1">
      <alignment horizontal="center" vertical="center" wrapText="1"/>
      <protection/>
    </xf>
    <xf numFmtId="0" fontId="57" fillId="47" borderId="65" xfId="101" applyFont="1" applyFill="1" applyBorder="1" applyAlignment="1">
      <alignment horizontal="center" vertical="center" wrapText="1"/>
      <protection/>
    </xf>
    <xf numFmtId="0" fontId="57" fillId="47" borderId="65" xfId="101" applyFont="1" applyFill="1" applyBorder="1" applyAlignment="1" quotePrefix="1">
      <alignment horizontal="center" vertical="center" wrapText="1"/>
      <protection/>
    </xf>
    <xf numFmtId="0" fontId="6" fillId="0" borderId="19" xfId="107" applyFont="1" applyFill="1" applyBorder="1" applyAlignment="1">
      <alignment wrapText="1"/>
      <protection/>
    </xf>
    <xf numFmtId="0" fontId="6" fillId="0" borderId="116" xfId="107" applyFont="1" applyFill="1" applyBorder="1" applyAlignment="1">
      <alignment wrapText="1"/>
      <protection/>
    </xf>
    <xf numFmtId="0" fontId="6" fillId="0" borderId="21" xfId="107" applyFont="1" applyFill="1" applyBorder="1" applyAlignment="1">
      <alignment wrapText="1"/>
      <protection/>
    </xf>
    <xf numFmtId="0" fontId="6" fillId="0" borderId="22" xfId="107" applyFont="1" applyFill="1" applyBorder="1" applyAlignment="1">
      <alignment wrapText="1"/>
      <protection/>
    </xf>
    <xf numFmtId="0" fontId="6" fillId="0" borderId="117" xfId="107" applyFont="1" applyFill="1" applyBorder="1" applyAlignment="1">
      <alignment wrapText="1"/>
      <protection/>
    </xf>
    <xf numFmtId="0" fontId="10" fillId="0" borderId="0" xfId="96" applyFont="1" applyFill="1" applyBorder="1" applyAlignment="1">
      <alignment horizontal="right"/>
      <protection/>
    </xf>
    <xf numFmtId="0" fontId="7" fillId="0" borderId="69" xfId="96" applyFont="1" applyFill="1" applyBorder="1" applyAlignment="1">
      <alignment horizontal="center"/>
      <protection/>
    </xf>
    <xf numFmtId="0" fontId="7" fillId="0" borderId="70" xfId="96" applyFont="1" applyFill="1" applyBorder="1" applyAlignment="1">
      <alignment horizontal="center"/>
      <protection/>
    </xf>
    <xf numFmtId="0" fontId="7" fillId="0" borderId="70" xfId="96" applyFont="1" applyFill="1" applyBorder="1">
      <alignment/>
      <protection/>
    </xf>
    <xf numFmtId="3" fontId="7" fillId="0" borderId="70" xfId="96" applyNumberFormat="1" applyFont="1" applyFill="1" applyBorder="1">
      <alignment/>
      <protection/>
    </xf>
    <xf numFmtId="0" fontId="7" fillId="0" borderId="64" xfId="96" applyFont="1" applyFill="1" applyBorder="1" applyAlignment="1">
      <alignment horizontal="center"/>
      <protection/>
    </xf>
    <xf numFmtId="0" fontId="7" fillId="0" borderId="65" xfId="96" applyFont="1" applyFill="1" applyBorder="1" applyAlignment="1">
      <alignment horizontal="center"/>
      <protection/>
    </xf>
    <xf numFmtId="0" fontId="7" fillId="0" borderId="65" xfId="96" applyFont="1" applyFill="1" applyBorder="1">
      <alignment/>
      <protection/>
    </xf>
    <xf numFmtId="3" fontId="7" fillId="0" borderId="65" xfId="96" applyNumberFormat="1" applyFont="1" applyFill="1" applyBorder="1">
      <alignment/>
      <protection/>
    </xf>
    <xf numFmtId="0" fontId="7" fillId="0" borderId="71" xfId="96" applyFont="1" applyFill="1" applyBorder="1" applyAlignment="1">
      <alignment horizontal="center"/>
      <protection/>
    </xf>
    <xf numFmtId="0" fontId="7" fillId="0" borderId="72" xfId="96" applyFont="1" applyFill="1" applyBorder="1" applyAlignment="1">
      <alignment horizontal="center"/>
      <protection/>
    </xf>
    <xf numFmtId="0" fontId="7" fillId="0" borderId="72" xfId="96" applyFont="1" applyFill="1" applyBorder="1">
      <alignment/>
      <protection/>
    </xf>
    <xf numFmtId="3" fontId="7" fillId="0" borderId="72" xfId="96" applyNumberFormat="1" applyFont="1" applyFill="1" applyBorder="1">
      <alignment/>
      <protection/>
    </xf>
    <xf numFmtId="0" fontId="7" fillId="47" borderId="19" xfId="107" applyFont="1" applyFill="1" applyBorder="1" applyAlignment="1">
      <alignment horizontal="center" vertical="center" wrapText="1"/>
      <protection/>
    </xf>
    <xf numFmtId="0" fontId="7" fillId="47" borderId="19" xfId="107" applyFont="1" applyFill="1" applyBorder="1" applyAlignment="1">
      <alignment horizontal="center" vertical="center"/>
      <protection/>
    </xf>
    <xf numFmtId="0" fontId="34" fillId="47" borderId="62" xfId="107" applyFont="1" applyFill="1" applyBorder="1" applyAlignment="1">
      <alignment horizontal="center" vertical="center" wrapText="1"/>
      <protection/>
    </xf>
    <xf numFmtId="0" fontId="10" fillId="0" borderId="110" xfId="107" applyFont="1" applyFill="1" applyBorder="1" applyAlignment="1">
      <alignment horizontal="center" vertical="center"/>
      <protection/>
    </xf>
    <xf numFmtId="0" fontId="9" fillId="0" borderId="118" xfId="107" applyFont="1" applyFill="1" applyBorder="1" applyAlignment="1">
      <alignment horizontal="center"/>
      <protection/>
    </xf>
    <xf numFmtId="167" fontId="29" fillId="0" borderId="119" xfId="107" applyNumberFormat="1" applyFont="1" applyFill="1" applyBorder="1" applyAlignment="1">
      <alignment horizontal="center" wrapText="1"/>
      <protection/>
    </xf>
    <xf numFmtId="0" fontId="10" fillId="0" borderId="120" xfId="107" applyFont="1" applyFill="1" applyBorder="1" applyAlignment="1">
      <alignment horizontal="center" vertical="center"/>
      <protection/>
    </xf>
    <xf numFmtId="0" fontId="10" fillId="0" borderId="40" xfId="107" applyFont="1" applyFill="1" applyBorder="1" applyAlignment="1">
      <alignment horizontal="center" vertical="center"/>
      <protection/>
    </xf>
    <xf numFmtId="0" fontId="9" fillId="0" borderId="121" xfId="107" applyFont="1" applyFill="1" applyBorder="1" applyAlignment="1">
      <alignment horizontal="center"/>
      <protection/>
    </xf>
    <xf numFmtId="0" fontId="9" fillId="0" borderId="62" xfId="107" applyFont="1" applyFill="1" applyBorder="1" applyAlignment="1">
      <alignment horizontal="center"/>
      <protection/>
    </xf>
    <xf numFmtId="0" fontId="28" fillId="0" borderId="122" xfId="107" applyFont="1" applyFill="1" applyBorder="1" applyAlignment="1">
      <alignment horizontal="left" vertical="center" wrapText="1"/>
      <protection/>
    </xf>
    <xf numFmtId="0" fontId="10" fillId="0" borderId="123" xfId="107" applyFont="1" applyFill="1" applyBorder="1" applyAlignment="1">
      <alignment horizontal="center" vertical="center"/>
      <protection/>
    </xf>
    <xf numFmtId="0" fontId="28" fillId="0" borderId="65" xfId="107" applyFont="1" applyFill="1" applyBorder="1" applyAlignment="1">
      <alignment horizontal="left" vertical="center" wrapText="1"/>
      <protection/>
    </xf>
    <xf numFmtId="0" fontId="10" fillId="0" borderId="43" xfId="107" applyFont="1" applyFill="1" applyBorder="1" applyAlignment="1">
      <alignment horizontal="center" vertical="center"/>
      <protection/>
    </xf>
    <xf numFmtId="0" fontId="9" fillId="0" borderId="124" xfId="107" applyFont="1" applyFill="1" applyBorder="1" applyAlignment="1">
      <alignment horizontal="center"/>
      <protection/>
    </xf>
    <xf numFmtId="0" fontId="9" fillId="0" borderId="125" xfId="107" applyFont="1" applyFill="1" applyBorder="1" applyAlignment="1">
      <alignment horizontal="center"/>
      <protection/>
    </xf>
    <xf numFmtId="0" fontId="9" fillId="0" borderId="86" xfId="107" applyFont="1" applyFill="1" applyBorder="1" applyAlignment="1">
      <alignment horizontal="left"/>
      <protection/>
    </xf>
    <xf numFmtId="0" fontId="9" fillId="0" borderId="20" xfId="107" applyFont="1" applyFill="1" applyBorder="1" applyAlignment="1">
      <alignment horizontal="left"/>
      <protection/>
    </xf>
    <xf numFmtId="0" fontId="9" fillId="0" borderId="83" xfId="107" applyFont="1" applyFill="1" applyBorder="1" applyAlignment="1">
      <alignment horizontal="left"/>
      <protection/>
    </xf>
    <xf numFmtId="0" fontId="9" fillId="0" borderId="29" xfId="107" applyFont="1" applyFill="1" applyBorder="1" applyAlignment="1">
      <alignment horizontal="left"/>
      <protection/>
    </xf>
    <xf numFmtId="0" fontId="9" fillId="0" borderId="32" xfId="107" applyFont="1" applyFill="1" applyBorder="1" applyAlignment="1">
      <alignment horizontal="left"/>
      <protection/>
    </xf>
    <xf numFmtId="0" fontId="9" fillId="0" borderId="40" xfId="107" applyFont="1" applyFill="1" applyBorder="1" applyAlignment="1">
      <alignment horizontal="left"/>
      <protection/>
    </xf>
    <xf numFmtId="49" fontId="32" fillId="47" borderId="72" xfId="101" applyNumberFormat="1" applyFont="1" applyFill="1" applyBorder="1">
      <alignment/>
      <protection/>
    </xf>
    <xf numFmtId="0" fontId="32" fillId="47" borderId="126" xfId="101" applyFont="1" applyFill="1" applyBorder="1">
      <alignment/>
      <protection/>
    </xf>
    <xf numFmtId="3" fontId="32" fillId="47" borderId="75" xfId="101" applyNumberFormat="1" applyFont="1" applyFill="1" applyBorder="1">
      <alignment/>
      <protection/>
    </xf>
    <xf numFmtId="169" fontId="31" fillId="47" borderId="75" xfId="76" applyNumberFormat="1" applyFont="1" applyFill="1" applyBorder="1" applyAlignment="1">
      <alignment/>
    </xf>
    <xf numFmtId="0" fontId="32" fillId="47" borderId="127" xfId="101" applyFont="1" applyFill="1" applyBorder="1">
      <alignment/>
      <protection/>
    </xf>
    <xf numFmtId="0" fontId="32" fillId="47" borderId="128" xfId="101" applyFont="1" applyFill="1" applyBorder="1">
      <alignment/>
      <protection/>
    </xf>
    <xf numFmtId="0" fontId="29" fillId="47" borderId="0" xfId="107" applyFont="1" applyFill="1" applyBorder="1" applyAlignment="1">
      <alignment horizontal="center" vertical="center" wrapText="1"/>
      <protection/>
    </xf>
    <xf numFmtId="0" fontId="29" fillId="47" borderId="0" xfId="107" applyFont="1" applyFill="1" applyBorder="1" applyAlignment="1">
      <alignment horizontal="left" vertical="center" wrapText="1"/>
      <protection/>
    </xf>
    <xf numFmtId="0" fontId="44" fillId="47" borderId="0" xfId="101" applyFont="1" applyFill="1" applyBorder="1" applyAlignment="1">
      <alignment horizontal="left"/>
      <protection/>
    </xf>
    <xf numFmtId="0" fontId="6" fillId="47" borderId="0" xfId="107" applyFont="1" applyFill="1" applyBorder="1" applyAlignment="1">
      <alignment horizontal="center" wrapText="1"/>
      <protection/>
    </xf>
    <xf numFmtId="167" fontId="6" fillId="0" borderId="0" xfId="107" applyNumberFormat="1" applyFont="1" applyFill="1" applyBorder="1" applyAlignment="1">
      <alignment horizontal="center"/>
      <protection/>
    </xf>
    <xf numFmtId="49" fontId="32" fillId="47" borderId="65" xfId="101" applyNumberFormat="1" applyFont="1" applyFill="1" applyBorder="1">
      <alignment/>
      <protection/>
    </xf>
    <xf numFmtId="49" fontId="32" fillId="47" borderId="75" xfId="101" applyNumberFormat="1" applyFont="1" applyFill="1" applyBorder="1">
      <alignment/>
      <protection/>
    </xf>
    <xf numFmtId="49" fontId="32" fillId="47" borderId="70" xfId="101" applyNumberFormat="1" applyFont="1" applyFill="1" applyBorder="1">
      <alignment/>
      <protection/>
    </xf>
    <xf numFmtId="0" fontId="9" fillId="0" borderId="129" xfId="107" applyFont="1" applyFill="1" applyBorder="1" applyAlignment="1">
      <alignment vertical="center"/>
      <protection/>
    </xf>
    <xf numFmtId="0" fontId="9" fillId="0" borderId="130" xfId="107" applyFont="1" applyFill="1" applyBorder="1" applyAlignment="1">
      <alignment vertical="center"/>
      <protection/>
    </xf>
    <xf numFmtId="0" fontId="37" fillId="47" borderId="19" xfId="107" applyFont="1" applyFill="1" applyBorder="1" applyAlignment="1">
      <alignment horizontal="center" vertical="center"/>
      <protection/>
    </xf>
    <xf numFmtId="167" fontId="6" fillId="47" borderId="19" xfId="76" applyNumberFormat="1" applyFont="1" applyFill="1" applyBorder="1" applyAlignment="1" applyProtection="1">
      <alignment/>
      <protection/>
    </xf>
    <xf numFmtId="167" fontId="9" fillId="47" borderId="19" xfId="76" applyNumberFormat="1" applyFont="1" applyFill="1" applyBorder="1" applyAlignment="1" applyProtection="1">
      <alignment/>
      <protection/>
    </xf>
    <xf numFmtId="0" fontId="10" fillId="47" borderId="19" xfId="101" applyFont="1" applyFill="1" applyBorder="1" applyAlignment="1">
      <alignment horizontal="center" vertical="center"/>
      <protection/>
    </xf>
    <xf numFmtId="0" fontId="29" fillId="47" borderId="19" xfId="107" applyFont="1" applyFill="1" applyBorder="1" applyAlignment="1">
      <alignment horizontal="center" vertical="center"/>
      <protection/>
    </xf>
    <xf numFmtId="0" fontId="6" fillId="47" borderId="19" xfId="107" applyFont="1" applyFill="1" applyBorder="1" applyAlignment="1">
      <alignment horizontal="center" vertical="center" wrapText="1"/>
      <protection/>
    </xf>
    <xf numFmtId="167" fontId="42" fillId="47" borderId="19" xfId="76" applyNumberFormat="1" applyFont="1" applyFill="1" applyBorder="1" applyAlignment="1" applyProtection="1">
      <alignment/>
      <protection/>
    </xf>
    <xf numFmtId="49" fontId="6" fillId="47" borderId="19" xfId="107" applyNumberFormat="1" applyFont="1" applyFill="1" applyBorder="1" applyAlignment="1" quotePrefix="1">
      <alignment horizontal="center" vertical="center"/>
      <protection/>
    </xf>
    <xf numFmtId="167" fontId="6" fillId="47" borderId="19" xfId="107" applyNumberFormat="1" applyFont="1" applyFill="1" applyBorder="1">
      <alignment/>
      <protection/>
    </xf>
    <xf numFmtId="169" fontId="9" fillId="47" borderId="116" xfId="76" applyNumberFormat="1" applyFont="1" applyFill="1" applyBorder="1" applyAlignment="1">
      <alignment/>
    </xf>
    <xf numFmtId="0" fontId="43" fillId="47" borderId="131" xfId="101" applyFont="1" applyFill="1" applyBorder="1" applyAlignment="1">
      <alignment/>
      <protection/>
    </xf>
    <xf numFmtId="167" fontId="6" fillId="47" borderId="61" xfId="107" applyNumberFormat="1" applyFont="1" applyFill="1" applyBorder="1">
      <alignment/>
      <protection/>
    </xf>
    <xf numFmtId="0" fontId="8" fillId="47" borderId="19" xfId="97" applyFont="1" applyFill="1" applyBorder="1" applyAlignment="1">
      <alignment horizontal="center" vertical="center" wrapText="1"/>
      <protection/>
    </xf>
    <xf numFmtId="0" fontId="55" fillId="47" borderId="72" xfId="101" applyFont="1" applyFill="1" applyBorder="1" applyAlignment="1">
      <alignment horizontal="center" wrapText="1"/>
      <protection/>
    </xf>
    <xf numFmtId="0" fontId="9" fillId="47" borderId="29" xfId="107" applyFont="1" applyFill="1" applyBorder="1">
      <alignment/>
      <protection/>
    </xf>
    <xf numFmtId="167" fontId="6" fillId="47" borderId="29" xfId="76" applyNumberFormat="1" applyFont="1" applyFill="1" applyBorder="1" applyAlignment="1" applyProtection="1">
      <alignment/>
      <protection/>
    </xf>
    <xf numFmtId="0" fontId="9" fillId="47" borderId="40" xfId="107" applyFont="1" applyFill="1" applyBorder="1">
      <alignment/>
      <protection/>
    </xf>
    <xf numFmtId="167" fontId="6" fillId="47" borderId="40" xfId="76" applyNumberFormat="1" applyFont="1" applyFill="1" applyBorder="1" applyAlignment="1" applyProtection="1">
      <alignment/>
      <protection/>
    </xf>
    <xf numFmtId="0" fontId="7" fillId="47" borderId="132" xfId="101" applyFont="1" applyFill="1" applyBorder="1" applyAlignment="1">
      <alignment horizontal="center" vertical="center"/>
      <protection/>
    </xf>
    <xf numFmtId="0" fontId="9" fillId="47" borderId="62" xfId="101" applyFont="1" applyFill="1" applyBorder="1">
      <alignment/>
      <protection/>
    </xf>
    <xf numFmtId="0" fontId="7" fillId="47" borderId="133" xfId="101" applyFont="1" applyFill="1" applyBorder="1" applyAlignment="1">
      <alignment horizontal="center" vertical="center"/>
      <protection/>
    </xf>
    <xf numFmtId="0" fontId="9" fillId="47" borderId="35" xfId="107" applyFont="1" applyFill="1" applyBorder="1" applyAlignment="1">
      <alignment wrapText="1"/>
      <protection/>
    </xf>
    <xf numFmtId="167" fontId="9" fillId="47" borderId="0" xfId="101" applyNumberFormat="1" applyFont="1" applyFill="1">
      <alignment/>
      <protection/>
    </xf>
    <xf numFmtId="0" fontId="32" fillId="47" borderId="134" xfId="101" applyFont="1" applyFill="1" applyBorder="1">
      <alignment/>
      <protection/>
    </xf>
    <xf numFmtId="3" fontId="32" fillId="47" borderId="135" xfId="101" applyNumberFormat="1" applyFont="1" applyFill="1" applyBorder="1">
      <alignment/>
      <protection/>
    </xf>
    <xf numFmtId="0" fontId="55" fillId="47" borderId="65" xfId="101" applyFont="1" applyFill="1" applyBorder="1" applyAlignment="1">
      <alignment horizontal="center" wrapText="1"/>
      <protection/>
    </xf>
    <xf numFmtId="0" fontId="32" fillId="47" borderId="70" xfId="101" applyFont="1" applyFill="1" applyBorder="1" applyAlignment="1">
      <alignment horizontal="left"/>
      <protection/>
    </xf>
    <xf numFmtId="0" fontId="8" fillId="47" borderId="97" xfId="107" applyFont="1" applyFill="1" applyBorder="1" applyAlignment="1">
      <alignment horizontal="center" vertical="center" wrapText="1"/>
      <protection/>
    </xf>
    <xf numFmtId="0" fontId="31" fillId="47" borderId="19" xfId="101" applyFont="1" applyFill="1" applyBorder="1">
      <alignment/>
      <protection/>
    </xf>
    <xf numFmtId="169" fontId="32" fillId="47" borderId="44" xfId="76" applyNumberFormat="1" applyFont="1" applyFill="1" applyBorder="1" applyAlignment="1">
      <alignment/>
    </xf>
    <xf numFmtId="0" fontId="7" fillId="47" borderId="98" xfId="101" applyFont="1" applyFill="1" applyBorder="1">
      <alignment/>
      <protection/>
    </xf>
    <xf numFmtId="0" fontId="10" fillId="47" borderId="136" xfId="101" applyFont="1" applyFill="1" applyBorder="1">
      <alignment/>
      <protection/>
    </xf>
    <xf numFmtId="0" fontId="10" fillId="47" borderId="98" xfId="101" applyFont="1" applyFill="1" applyBorder="1">
      <alignment/>
      <protection/>
    </xf>
    <xf numFmtId="0" fontId="7" fillId="47" borderId="128" xfId="101" applyFont="1" applyFill="1" applyBorder="1" applyAlignment="1">
      <alignment horizontal="center" vertical="center"/>
      <protection/>
    </xf>
    <xf numFmtId="0" fontId="10" fillId="47" borderId="137" xfId="101" applyFont="1" applyFill="1" applyBorder="1" applyAlignment="1">
      <alignment horizontal="center" wrapText="1"/>
      <protection/>
    </xf>
    <xf numFmtId="0" fontId="10" fillId="47" borderId="138" xfId="101" applyFont="1" applyFill="1" applyBorder="1">
      <alignment/>
      <protection/>
    </xf>
    <xf numFmtId="0" fontId="10" fillId="47" borderId="139" xfId="101" applyFont="1" applyFill="1" applyBorder="1">
      <alignment/>
      <protection/>
    </xf>
    <xf numFmtId="0" fontId="10" fillId="47" borderId="140" xfId="101" applyFont="1" applyFill="1" applyBorder="1">
      <alignment/>
      <protection/>
    </xf>
    <xf numFmtId="0" fontId="6" fillId="47" borderId="141" xfId="107" applyFont="1" applyFill="1" applyBorder="1" applyAlignment="1">
      <alignment horizontal="center" vertical="center" wrapText="1"/>
      <protection/>
    </xf>
    <xf numFmtId="167" fontId="42" fillId="47" borderId="141" xfId="76" applyNumberFormat="1" applyFont="1" applyFill="1" applyBorder="1" applyAlignment="1" applyProtection="1">
      <alignment/>
      <protection/>
    </xf>
    <xf numFmtId="0" fontId="6" fillId="47" borderId="96" xfId="107" applyFont="1" applyFill="1" applyBorder="1" applyAlignment="1">
      <alignment horizontal="center" vertical="center" wrapText="1"/>
      <protection/>
    </xf>
    <xf numFmtId="167" fontId="47" fillId="47" borderId="114" xfId="76" applyNumberFormat="1" applyFont="1" applyFill="1" applyBorder="1" applyAlignment="1" applyProtection="1">
      <alignment/>
      <protection/>
    </xf>
    <xf numFmtId="167" fontId="9" fillId="47" borderId="142" xfId="76" applyNumberFormat="1" applyFont="1" applyFill="1" applyBorder="1" applyAlignment="1" applyProtection="1">
      <alignment/>
      <protection/>
    </xf>
    <xf numFmtId="167" fontId="47" fillId="47" borderId="143" xfId="76" applyNumberFormat="1" applyFont="1" applyFill="1" applyBorder="1" applyAlignment="1" applyProtection="1">
      <alignment/>
      <protection/>
    </xf>
    <xf numFmtId="0" fontId="6" fillId="47" borderId="109" xfId="107" applyFont="1" applyFill="1" applyBorder="1" applyAlignment="1">
      <alignment horizontal="center" vertical="center" wrapText="1"/>
      <protection/>
    </xf>
    <xf numFmtId="0" fontId="6" fillId="47" borderId="143" xfId="107" applyFont="1" applyFill="1" applyBorder="1" applyAlignment="1">
      <alignment horizontal="center" vertical="center" wrapText="1"/>
      <protection/>
    </xf>
    <xf numFmtId="167" fontId="9" fillId="47" borderId="143" xfId="76" applyNumberFormat="1" applyFont="1" applyFill="1" applyBorder="1" applyAlignment="1" applyProtection="1">
      <alignment/>
      <protection/>
    </xf>
    <xf numFmtId="167" fontId="9" fillId="47" borderId="130" xfId="76" applyNumberFormat="1" applyFont="1" applyFill="1" applyBorder="1" applyAlignment="1" applyProtection="1">
      <alignment/>
      <protection/>
    </xf>
    <xf numFmtId="167" fontId="9" fillId="47" borderId="144" xfId="76" applyNumberFormat="1" applyFont="1" applyFill="1" applyBorder="1" applyAlignment="1" applyProtection="1">
      <alignment/>
      <protection/>
    </xf>
    <xf numFmtId="167" fontId="9" fillId="47" borderId="23" xfId="76" applyNumberFormat="1" applyFont="1" applyFill="1" applyBorder="1" applyAlignment="1" applyProtection="1">
      <alignment/>
      <protection/>
    </xf>
    <xf numFmtId="0" fontId="7" fillId="47" borderId="0" xfId="101" applyFont="1" applyFill="1" applyBorder="1" applyAlignment="1">
      <alignment horizontal="center" vertical="center"/>
      <protection/>
    </xf>
    <xf numFmtId="0" fontId="3" fillId="0" borderId="0" xfId="107" applyFont="1" applyFill="1" applyBorder="1" applyAlignment="1">
      <alignment horizontal="center" wrapText="1"/>
      <protection/>
    </xf>
    <xf numFmtId="0" fontId="11" fillId="47" borderId="97" xfId="107" applyFont="1" applyFill="1" applyBorder="1" applyAlignment="1">
      <alignment horizontal="center" vertical="center" wrapText="1"/>
      <protection/>
    </xf>
    <xf numFmtId="0" fontId="57" fillId="47" borderId="0" xfId="101" applyFont="1" applyFill="1" applyBorder="1" applyAlignment="1">
      <alignment horizontal="center" vertical="center" wrapText="1"/>
      <protection/>
    </xf>
    <xf numFmtId="0" fontId="57" fillId="47" borderId="145" xfId="101" applyFont="1" applyFill="1" applyBorder="1" applyAlignment="1">
      <alignment horizontal="center" vertical="center" wrapText="1"/>
      <protection/>
    </xf>
    <xf numFmtId="0" fontId="57" fillId="47" borderId="145" xfId="101" applyFont="1" applyFill="1" applyBorder="1" applyAlignment="1" quotePrefix="1">
      <alignment horizontal="center" vertical="center" wrapText="1"/>
      <protection/>
    </xf>
    <xf numFmtId="169" fontId="55" fillId="47" borderId="68" xfId="76" applyNumberFormat="1" applyFont="1" applyFill="1" applyBorder="1" applyAlignment="1">
      <alignment/>
    </xf>
    <xf numFmtId="169" fontId="55" fillId="47" borderId="98" xfId="76" applyNumberFormat="1" applyFont="1" applyFill="1" applyBorder="1" applyAlignment="1">
      <alignment/>
    </xf>
    <xf numFmtId="169" fontId="38" fillId="47" borderId="146" xfId="101" applyNumberFormat="1" applyFont="1" applyFill="1" applyBorder="1">
      <alignment/>
      <protection/>
    </xf>
    <xf numFmtId="169" fontId="38" fillId="47" borderId="147" xfId="101" applyNumberFormat="1" applyFont="1" applyFill="1" applyBorder="1">
      <alignment/>
      <protection/>
    </xf>
    <xf numFmtId="0" fontId="41" fillId="47" borderId="19" xfId="101" applyFont="1" applyFill="1" applyBorder="1">
      <alignment/>
      <protection/>
    </xf>
    <xf numFmtId="167" fontId="58" fillId="0" borderId="69" xfId="76" applyNumberFormat="1" applyFont="1" applyFill="1" applyBorder="1" applyAlignment="1" applyProtection="1">
      <alignment horizontal="center"/>
      <protection/>
    </xf>
    <xf numFmtId="167" fontId="58" fillId="0" borderId="70" xfId="76" applyNumberFormat="1" applyFont="1" applyFill="1" applyBorder="1" applyAlignment="1" applyProtection="1">
      <alignment horizontal="center"/>
      <protection/>
    </xf>
    <xf numFmtId="167" fontId="58" fillId="0" borderId="41" xfId="76" applyNumberFormat="1" applyFont="1" applyFill="1" applyBorder="1" applyAlignment="1" applyProtection="1">
      <alignment horizontal="center"/>
      <protection/>
    </xf>
    <xf numFmtId="167" fontId="58" fillId="0" borderId="148" xfId="76" applyNumberFormat="1" applyFont="1" applyFill="1" applyBorder="1" applyAlignment="1" applyProtection="1">
      <alignment horizontal="center"/>
      <protection/>
    </xf>
    <xf numFmtId="167" fontId="58" fillId="0" borderId="71" xfId="76" applyNumberFormat="1" applyFont="1" applyFill="1" applyBorder="1" applyAlignment="1" applyProtection="1">
      <alignment horizontal="center"/>
      <protection/>
    </xf>
    <xf numFmtId="167" fontId="58" fillId="0" borderId="72" xfId="76" applyNumberFormat="1" applyFont="1" applyFill="1" applyBorder="1" applyAlignment="1" applyProtection="1">
      <alignment horizontal="center"/>
      <protection/>
    </xf>
    <xf numFmtId="167" fontId="58" fillId="0" borderId="73" xfId="76" applyNumberFormat="1" applyFont="1" applyFill="1" applyBorder="1" applyAlignment="1" applyProtection="1">
      <alignment horizontal="center"/>
      <protection/>
    </xf>
    <xf numFmtId="167" fontId="58" fillId="0" borderId="64" xfId="76" applyNumberFormat="1" applyFont="1" applyFill="1" applyBorder="1" applyAlignment="1" applyProtection="1">
      <alignment horizontal="center"/>
      <protection/>
    </xf>
    <xf numFmtId="167" fontId="58" fillId="0" borderId="43" xfId="76" applyNumberFormat="1" applyFont="1" applyFill="1" applyBorder="1" applyAlignment="1" applyProtection="1">
      <alignment horizontal="center"/>
      <protection/>
    </xf>
    <xf numFmtId="167" fontId="58" fillId="0" borderId="149" xfId="76" applyNumberFormat="1" applyFont="1" applyFill="1" applyBorder="1" applyAlignment="1" applyProtection="1">
      <alignment horizontal="center"/>
      <protection/>
    </xf>
    <xf numFmtId="167" fontId="58" fillId="0" borderId="150" xfId="76" applyNumberFormat="1" applyFont="1" applyFill="1" applyBorder="1" applyAlignment="1" applyProtection="1">
      <alignment horizontal="center"/>
      <protection/>
    </xf>
    <xf numFmtId="167" fontId="58" fillId="0" borderId="65" xfId="76" applyNumberFormat="1" applyFont="1" applyFill="1" applyBorder="1" applyAlignment="1" applyProtection="1">
      <alignment horizontal="center"/>
      <protection/>
    </xf>
    <xf numFmtId="167" fontId="58" fillId="0" borderId="102" xfId="76" applyNumberFormat="1" applyFont="1" applyFill="1" applyBorder="1" applyAlignment="1" applyProtection="1">
      <alignment horizontal="center"/>
      <protection/>
    </xf>
    <xf numFmtId="167" fontId="58" fillId="0" borderId="67" xfId="76" applyNumberFormat="1" applyFont="1" applyFill="1" applyBorder="1" applyAlignment="1" applyProtection="1">
      <alignment horizontal="center"/>
      <protection/>
    </xf>
    <xf numFmtId="167" fontId="6" fillId="0" borderId="100" xfId="107" applyNumberFormat="1" applyFont="1" applyFill="1" applyBorder="1">
      <alignment/>
      <protection/>
    </xf>
    <xf numFmtId="167" fontId="6" fillId="0" borderId="19" xfId="107" applyNumberFormat="1" applyFont="1" applyFill="1" applyBorder="1">
      <alignment/>
      <protection/>
    </xf>
    <xf numFmtId="167" fontId="28" fillId="0" borderId="0" xfId="107" applyNumberFormat="1" applyFont="1" applyFill="1">
      <alignment/>
      <protection/>
    </xf>
    <xf numFmtId="0" fontId="34" fillId="47" borderId="97" xfId="107" applyFont="1" applyFill="1" applyBorder="1" applyAlignment="1">
      <alignment horizontal="center" wrapText="1"/>
      <protection/>
    </xf>
    <xf numFmtId="0" fontId="34" fillId="47" borderId="19" xfId="107" applyFont="1" applyFill="1" applyBorder="1" applyAlignment="1">
      <alignment horizontal="center" vertical="center" wrapText="1"/>
      <protection/>
    </xf>
    <xf numFmtId="0" fontId="31" fillId="47" borderId="61" xfId="101" applyFont="1" applyFill="1" applyBorder="1" applyAlignment="1">
      <alignment/>
      <protection/>
    </xf>
    <xf numFmtId="0" fontId="31" fillId="47" borderId="151" xfId="101" applyFont="1" applyFill="1" applyBorder="1" applyAlignment="1">
      <alignment/>
      <protection/>
    </xf>
    <xf numFmtId="0" fontId="31" fillId="47" borderId="152" xfId="101" applyFont="1" applyFill="1" applyBorder="1" applyAlignment="1">
      <alignment/>
      <protection/>
    </xf>
    <xf numFmtId="0" fontId="55" fillId="47" borderId="70" xfId="101" applyFont="1" applyFill="1" applyBorder="1" applyAlignment="1">
      <alignment horizontal="center" wrapText="1"/>
      <protection/>
    </xf>
    <xf numFmtId="0" fontId="38" fillId="47" borderId="67" xfId="101" applyFont="1" applyFill="1" applyBorder="1">
      <alignment/>
      <protection/>
    </xf>
    <xf numFmtId="0" fontId="39" fillId="47" borderId="67" xfId="101" applyFont="1" applyFill="1" applyBorder="1">
      <alignment/>
      <protection/>
    </xf>
    <xf numFmtId="167" fontId="42" fillId="47" borderId="153" xfId="76" applyNumberFormat="1" applyFont="1" applyFill="1" applyBorder="1" applyAlignment="1" applyProtection="1">
      <alignment/>
      <protection/>
    </xf>
    <xf numFmtId="167" fontId="9" fillId="47" borderId="117" xfId="76" applyNumberFormat="1" applyFont="1" applyFill="1" applyBorder="1" applyAlignment="1" applyProtection="1">
      <alignment/>
      <protection/>
    </xf>
    <xf numFmtId="167" fontId="9" fillId="47" borderId="154" xfId="76" applyNumberFormat="1" applyFont="1" applyFill="1" applyBorder="1" applyAlignment="1" applyProtection="1">
      <alignment/>
      <protection/>
    </xf>
    <xf numFmtId="167" fontId="42" fillId="47" borderId="155" xfId="76" applyNumberFormat="1" applyFont="1" applyFill="1" applyBorder="1" applyAlignment="1" applyProtection="1">
      <alignment/>
      <protection/>
    </xf>
    <xf numFmtId="167" fontId="9" fillId="47" borderId="24" xfId="76" applyNumberFormat="1" applyFont="1" applyFill="1" applyBorder="1" applyAlignment="1" applyProtection="1">
      <alignment/>
      <protection/>
    </xf>
    <xf numFmtId="167" fontId="9" fillId="47" borderId="156" xfId="76" applyNumberFormat="1" applyFont="1" applyFill="1" applyBorder="1" applyAlignment="1" applyProtection="1">
      <alignment/>
      <protection/>
    </xf>
    <xf numFmtId="167" fontId="9" fillId="47" borderId="25" xfId="76" applyNumberFormat="1" applyFont="1" applyFill="1" applyBorder="1" applyAlignment="1" applyProtection="1">
      <alignment/>
      <protection/>
    </xf>
    <xf numFmtId="167" fontId="9" fillId="47" borderId="157" xfId="76" applyNumberFormat="1" applyFont="1" applyFill="1" applyBorder="1" applyAlignment="1" applyProtection="1">
      <alignment/>
      <protection/>
    </xf>
    <xf numFmtId="167" fontId="9" fillId="47" borderId="158" xfId="76" applyNumberFormat="1" applyFont="1" applyFill="1" applyBorder="1" applyAlignment="1" applyProtection="1">
      <alignment/>
      <protection/>
    </xf>
    <xf numFmtId="167" fontId="42" fillId="47" borderId="115" xfId="76" applyNumberFormat="1" applyFont="1" applyFill="1" applyBorder="1" applyAlignment="1" applyProtection="1">
      <alignment/>
      <protection/>
    </xf>
    <xf numFmtId="167" fontId="9" fillId="47" borderId="137" xfId="76" applyNumberFormat="1" applyFont="1" applyFill="1" applyBorder="1" applyAlignment="1" applyProtection="1">
      <alignment/>
      <protection/>
    </xf>
    <xf numFmtId="167" fontId="9" fillId="47" borderId="159" xfId="76" applyNumberFormat="1" applyFont="1" applyFill="1" applyBorder="1" applyAlignment="1" applyProtection="1">
      <alignment/>
      <protection/>
    </xf>
    <xf numFmtId="167" fontId="42" fillId="47" borderId="116" xfId="76" applyNumberFormat="1" applyFont="1" applyFill="1" applyBorder="1" applyAlignment="1" applyProtection="1">
      <alignment/>
      <protection/>
    </xf>
    <xf numFmtId="167" fontId="9" fillId="47" borderId="160" xfId="76" applyNumberFormat="1" applyFont="1" applyFill="1" applyBorder="1" applyAlignment="1" applyProtection="1">
      <alignment/>
      <protection/>
    </xf>
    <xf numFmtId="167" fontId="9" fillId="47" borderId="161" xfId="76" applyNumberFormat="1" applyFont="1" applyFill="1" applyBorder="1" applyAlignment="1" applyProtection="1">
      <alignment/>
      <protection/>
    </xf>
    <xf numFmtId="167" fontId="9" fillId="47" borderId="162" xfId="76" applyNumberFormat="1" applyFont="1" applyFill="1" applyBorder="1" applyAlignment="1" applyProtection="1">
      <alignment/>
      <protection/>
    </xf>
    <xf numFmtId="169" fontId="9" fillId="47" borderId="0" xfId="101" applyNumberFormat="1" applyFont="1" applyFill="1">
      <alignment/>
      <protection/>
    </xf>
    <xf numFmtId="167" fontId="58" fillId="0" borderId="68" xfId="76" applyNumberFormat="1" applyFont="1" applyFill="1" applyBorder="1" applyAlignment="1" applyProtection="1">
      <alignment horizontal="center"/>
      <protection/>
    </xf>
    <xf numFmtId="0" fontId="55" fillId="47" borderId="75" xfId="101" applyFont="1" applyFill="1" applyBorder="1" applyAlignment="1">
      <alignment horizontal="center" wrapText="1"/>
      <protection/>
    </xf>
    <xf numFmtId="3" fontId="7" fillId="0" borderId="0" xfId="96" applyNumberFormat="1" applyFont="1" applyFill="1">
      <alignment/>
      <protection/>
    </xf>
    <xf numFmtId="167" fontId="58" fillId="0" borderId="163" xfId="76" applyNumberFormat="1" applyFont="1" applyFill="1" applyBorder="1" applyAlignment="1" applyProtection="1">
      <alignment horizontal="center"/>
      <protection/>
    </xf>
    <xf numFmtId="0" fontId="9" fillId="47" borderId="35" xfId="107" applyFont="1" applyFill="1" applyBorder="1">
      <alignment/>
      <protection/>
    </xf>
    <xf numFmtId="167" fontId="6" fillId="47" borderId="35" xfId="76" applyNumberFormat="1" applyFont="1" applyFill="1" applyBorder="1" applyAlignment="1" applyProtection="1">
      <alignment/>
      <protection/>
    </xf>
    <xf numFmtId="167" fontId="9" fillId="47" borderId="35" xfId="76" applyNumberFormat="1" applyFont="1" applyFill="1" applyBorder="1" applyAlignment="1" applyProtection="1">
      <alignment/>
      <protection/>
    </xf>
    <xf numFmtId="167" fontId="9" fillId="47" borderId="57" xfId="76" applyNumberFormat="1" applyFont="1" applyFill="1" applyBorder="1" applyAlignment="1" applyProtection="1">
      <alignment/>
      <protection/>
    </xf>
    <xf numFmtId="169" fontId="55" fillId="47" borderId="19" xfId="76" applyNumberFormat="1" applyFont="1" applyFill="1" applyBorder="1" applyAlignment="1">
      <alignment/>
    </xf>
    <xf numFmtId="169" fontId="38" fillId="47" borderId="19" xfId="76" applyNumberFormat="1" applyFont="1" applyFill="1" applyBorder="1" applyAlignment="1">
      <alignment/>
    </xf>
    <xf numFmtId="0" fontId="32" fillId="47" borderId="19" xfId="101" applyFont="1" applyFill="1" applyBorder="1" quotePrefix="1">
      <alignment/>
      <protection/>
    </xf>
    <xf numFmtId="0" fontId="41" fillId="47" borderId="19" xfId="101" applyFont="1" applyFill="1" applyBorder="1" applyAlignment="1">
      <alignment horizontal="left"/>
      <protection/>
    </xf>
    <xf numFmtId="0" fontId="32" fillId="47" borderId="19" xfId="101" applyFont="1" applyFill="1" applyBorder="1" applyAlignment="1">
      <alignment wrapText="1"/>
      <protection/>
    </xf>
    <xf numFmtId="167" fontId="6" fillId="47" borderId="19" xfId="107" applyNumberFormat="1" applyFont="1" applyFill="1" applyBorder="1" applyAlignment="1">
      <alignment horizontal="center" vertical="center" wrapText="1"/>
      <protection/>
    </xf>
    <xf numFmtId="0" fontId="32" fillId="0" borderId="0" xfId="101" applyFont="1" applyFill="1">
      <alignment/>
      <protection/>
    </xf>
    <xf numFmtId="0" fontId="11" fillId="0" borderId="19" xfId="107" applyFont="1" applyFill="1" applyBorder="1" applyAlignment="1">
      <alignment horizontal="center" vertical="center" wrapText="1"/>
      <protection/>
    </xf>
    <xf numFmtId="0" fontId="34" fillId="0" borderId="19" xfId="107" applyFont="1" applyFill="1" applyBorder="1" applyAlignment="1">
      <alignment horizontal="center" wrapText="1"/>
      <protection/>
    </xf>
    <xf numFmtId="169" fontId="32" fillId="0" borderId="65" xfId="76" applyNumberFormat="1" applyFont="1" applyFill="1" applyBorder="1" applyAlignment="1">
      <alignment/>
    </xf>
    <xf numFmtId="169" fontId="35" fillId="0" borderId="65" xfId="76" applyNumberFormat="1" applyFont="1" applyFill="1" applyBorder="1" applyAlignment="1">
      <alignment/>
    </xf>
    <xf numFmtId="169" fontId="35" fillId="0" borderId="72" xfId="76" applyNumberFormat="1" applyFont="1" applyFill="1" applyBorder="1" applyAlignment="1">
      <alignment/>
    </xf>
    <xf numFmtId="169" fontId="31" fillId="0" borderId="101" xfId="76" applyNumberFormat="1" applyFont="1" applyFill="1" applyBorder="1" applyAlignment="1">
      <alignment/>
    </xf>
    <xf numFmtId="169" fontId="31" fillId="0" borderId="0" xfId="76" applyNumberFormat="1" applyFont="1" applyFill="1" applyBorder="1" applyAlignment="1">
      <alignment/>
    </xf>
    <xf numFmtId="169" fontId="32" fillId="0" borderId="72" xfId="76" applyNumberFormat="1" applyFont="1" applyFill="1" applyBorder="1" applyAlignment="1">
      <alignment/>
    </xf>
    <xf numFmtId="169" fontId="32" fillId="0" borderId="75" xfId="76" applyNumberFormat="1" applyFont="1" applyFill="1" applyBorder="1" applyAlignment="1">
      <alignment/>
    </xf>
    <xf numFmtId="169" fontId="32" fillId="0" borderId="145" xfId="76" applyNumberFormat="1" applyFont="1" applyFill="1" applyBorder="1" applyAlignment="1">
      <alignment/>
    </xf>
    <xf numFmtId="169" fontId="31" fillId="0" borderId="67" xfId="76" applyNumberFormat="1" applyFont="1" applyFill="1" applyBorder="1" applyAlignment="1">
      <alignment/>
    </xf>
    <xf numFmtId="169" fontId="32" fillId="0" borderId="70" xfId="76" applyNumberFormat="1" applyFont="1" applyFill="1" applyBorder="1" applyAlignment="1">
      <alignment/>
    </xf>
    <xf numFmtId="169" fontId="32" fillId="0" borderId="70" xfId="74" applyNumberFormat="1" applyFont="1" applyFill="1" applyBorder="1" applyAlignment="1">
      <alignment horizontal="left"/>
    </xf>
    <xf numFmtId="169" fontId="32" fillId="0" borderId="65" xfId="74" applyNumberFormat="1" applyFont="1" applyFill="1" applyBorder="1" applyAlignment="1">
      <alignment horizontal="left"/>
    </xf>
    <xf numFmtId="169" fontId="32" fillId="0" borderId="72" xfId="74" applyNumberFormat="1" applyFont="1" applyFill="1" applyBorder="1" applyAlignment="1">
      <alignment horizontal="left"/>
    </xf>
    <xf numFmtId="169" fontId="31" fillId="0" borderId="68" xfId="101" applyNumberFormat="1" applyFont="1" applyFill="1" applyBorder="1">
      <alignment/>
      <protection/>
    </xf>
    <xf numFmtId="169" fontId="32" fillId="0" borderId="70" xfId="101" applyNumberFormat="1" applyFont="1" applyFill="1" applyBorder="1" applyAlignment="1">
      <alignment/>
      <protection/>
    </xf>
    <xf numFmtId="169" fontId="32" fillId="0" borderId="65" xfId="101" applyNumberFormat="1" applyFont="1" applyFill="1" applyBorder="1" applyAlignment="1">
      <alignment/>
      <protection/>
    </xf>
    <xf numFmtId="0" fontId="32" fillId="0" borderId="65" xfId="101" applyFont="1" applyFill="1" applyBorder="1" applyAlignment="1">
      <alignment/>
      <protection/>
    </xf>
    <xf numFmtId="169" fontId="31" fillId="0" borderId="72" xfId="101" applyNumberFormat="1" applyFont="1" applyFill="1" applyBorder="1">
      <alignment/>
      <protection/>
    </xf>
    <xf numFmtId="0" fontId="32" fillId="0" borderId="70" xfId="101" applyFont="1" applyFill="1" applyBorder="1" applyAlignment="1">
      <alignment horizontal="center"/>
      <protection/>
    </xf>
    <xf numFmtId="0" fontId="32" fillId="0" borderId="72" xfId="101" applyFont="1" applyFill="1" applyBorder="1" applyAlignment="1">
      <alignment horizontal="center"/>
      <protection/>
    </xf>
    <xf numFmtId="0" fontId="32" fillId="0" borderId="65" xfId="101" applyFont="1" applyFill="1" applyBorder="1" applyAlignment="1">
      <alignment horizontal="center"/>
      <protection/>
    </xf>
    <xf numFmtId="0" fontId="10" fillId="47" borderId="164" xfId="101" applyFont="1" applyFill="1" applyBorder="1">
      <alignment/>
      <protection/>
    </xf>
    <xf numFmtId="167" fontId="9" fillId="0" borderId="165" xfId="77" applyNumberFormat="1" applyFont="1" applyFill="1" applyBorder="1" applyAlignment="1" applyProtection="1">
      <alignment horizontal="center" vertical="center" wrapText="1"/>
      <protection/>
    </xf>
    <xf numFmtId="167" fontId="9" fillId="0" borderId="29" xfId="77" applyNumberFormat="1" applyFont="1" applyFill="1" applyBorder="1" applyAlignment="1" applyProtection="1">
      <alignment horizontal="center" vertical="center" wrapText="1"/>
      <protection/>
    </xf>
    <xf numFmtId="167" fontId="6" fillId="0" borderId="29" xfId="77" applyNumberFormat="1" applyFont="1" applyFill="1" applyBorder="1" applyAlignment="1" applyProtection="1">
      <alignment horizontal="center" vertical="center" wrapText="1"/>
      <protection/>
    </xf>
    <xf numFmtId="167" fontId="10" fillId="0" borderId="29" xfId="77" applyNumberFormat="1" applyFont="1" applyFill="1" applyBorder="1" applyAlignment="1" applyProtection="1">
      <alignment horizontal="center" vertical="center" wrapText="1"/>
      <protection/>
    </xf>
    <xf numFmtId="167" fontId="9" fillId="0" borderId="166" xfId="77" applyNumberFormat="1" applyFont="1" applyFill="1" applyBorder="1" applyAlignment="1" applyProtection="1">
      <alignment horizontal="center" vertical="center" wrapText="1"/>
      <protection/>
    </xf>
    <xf numFmtId="167" fontId="9" fillId="0" borderId="32" xfId="77" applyNumberFormat="1" applyFont="1" applyFill="1" applyBorder="1" applyAlignment="1" applyProtection="1">
      <alignment horizontal="center" vertical="center" wrapText="1"/>
      <protection/>
    </xf>
    <xf numFmtId="167" fontId="6" fillId="0" borderId="32" xfId="77" applyNumberFormat="1" applyFont="1" applyFill="1" applyBorder="1" applyAlignment="1" applyProtection="1">
      <alignment horizontal="center" vertical="center" wrapText="1"/>
      <protection/>
    </xf>
    <xf numFmtId="167" fontId="10" fillId="0" borderId="32" xfId="77" applyNumberFormat="1" applyFont="1" applyFill="1" applyBorder="1" applyAlignment="1" applyProtection="1">
      <alignment horizontal="center" vertical="center" wrapText="1"/>
      <protection/>
    </xf>
    <xf numFmtId="167" fontId="9" fillId="0" borderId="167" xfId="77" applyNumberFormat="1" applyFont="1" applyFill="1" applyBorder="1" applyAlignment="1" applyProtection="1">
      <alignment horizontal="center" vertical="center" wrapText="1"/>
      <protection/>
    </xf>
    <xf numFmtId="167" fontId="9" fillId="0" borderId="35" xfId="77" applyNumberFormat="1" applyFont="1" applyFill="1" applyBorder="1" applyAlignment="1" applyProtection="1">
      <alignment horizontal="center" vertical="center" wrapText="1"/>
      <protection/>
    </xf>
    <xf numFmtId="167" fontId="6" fillId="0" borderId="35" xfId="77" applyNumberFormat="1" applyFont="1" applyFill="1" applyBorder="1" applyAlignment="1" applyProtection="1">
      <alignment horizontal="center" vertical="center" wrapText="1"/>
      <protection/>
    </xf>
    <xf numFmtId="167" fontId="10" fillId="0" borderId="35" xfId="77" applyNumberFormat="1" applyFont="1" applyFill="1" applyBorder="1" applyAlignment="1" applyProtection="1">
      <alignment horizontal="center" vertical="center" wrapText="1"/>
      <protection/>
    </xf>
    <xf numFmtId="167" fontId="9" fillId="0" borderId="168" xfId="77" applyNumberFormat="1" applyFont="1" applyFill="1" applyBorder="1" applyAlignment="1" applyProtection="1">
      <alignment horizontal="center" vertical="center" wrapText="1"/>
      <protection/>
    </xf>
    <xf numFmtId="167" fontId="9" fillId="0" borderId="40" xfId="77" applyNumberFormat="1" applyFont="1" applyFill="1" applyBorder="1" applyAlignment="1" applyProtection="1">
      <alignment horizontal="center" vertical="center" wrapText="1"/>
      <protection/>
    </xf>
    <xf numFmtId="167" fontId="6" fillId="0" borderId="40" xfId="77" applyNumberFormat="1" applyFont="1" applyFill="1" applyBorder="1" applyAlignment="1" applyProtection="1">
      <alignment horizontal="center" vertical="center" wrapText="1"/>
      <protection/>
    </xf>
    <xf numFmtId="167" fontId="10" fillId="0" borderId="40" xfId="77" applyNumberFormat="1" applyFont="1" applyFill="1" applyBorder="1" applyAlignment="1" applyProtection="1">
      <alignment horizontal="center" vertical="center" wrapText="1"/>
      <protection/>
    </xf>
    <xf numFmtId="167" fontId="29" fillId="0" borderId="29" xfId="77" applyNumberFormat="1" applyFont="1" applyFill="1" applyBorder="1" applyAlignment="1" applyProtection="1">
      <alignment horizontal="center" vertical="center" wrapText="1"/>
      <protection/>
    </xf>
    <xf numFmtId="167" fontId="8" fillId="0" borderId="29" xfId="77" applyNumberFormat="1" applyFont="1" applyFill="1" applyBorder="1" applyAlignment="1" applyProtection="1">
      <alignment horizontal="center" vertical="center" wrapText="1"/>
      <protection/>
    </xf>
    <xf numFmtId="167" fontId="29" fillId="0" borderId="0" xfId="77" applyNumberFormat="1" applyFont="1" applyFill="1" applyBorder="1" applyAlignment="1" applyProtection="1">
      <alignment horizontal="center" vertical="center" wrapText="1"/>
      <protection/>
    </xf>
    <xf numFmtId="167" fontId="9" fillId="0" borderId="0" xfId="77" applyNumberFormat="1" applyFont="1" applyFill="1" applyBorder="1" applyAlignment="1" applyProtection="1">
      <alignment horizontal="center" vertical="center" wrapText="1"/>
      <protection/>
    </xf>
    <xf numFmtId="167" fontId="4" fillId="0" borderId="169" xfId="77" applyNumberFormat="1" applyFont="1" applyFill="1" applyBorder="1" applyAlignment="1" applyProtection="1">
      <alignment horizontal="center" vertical="center" wrapText="1"/>
      <protection/>
    </xf>
    <xf numFmtId="167" fontId="4" fillId="0" borderId="170" xfId="77" applyNumberFormat="1" applyFont="1" applyFill="1" applyBorder="1" applyAlignment="1" applyProtection="1">
      <alignment horizontal="center" vertical="center" wrapText="1"/>
      <protection/>
    </xf>
    <xf numFmtId="167" fontId="8" fillId="0" borderId="0" xfId="77" applyNumberFormat="1" applyFont="1" applyFill="1" applyBorder="1" applyAlignment="1" applyProtection="1">
      <alignment horizontal="center" vertical="center" wrapText="1"/>
      <protection/>
    </xf>
    <xf numFmtId="167" fontId="9" fillId="0" borderId="86" xfId="77" applyNumberFormat="1" applyFont="1" applyFill="1" applyBorder="1" applyAlignment="1" applyProtection="1">
      <alignment horizontal="center" vertical="center" wrapText="1"/>
      <protection/>
    </xf>
    <xf numFmtId="167" fontId="10" fillId="0" borderId="29" xfId="77" applyNumberFormat="1" applyFont="1" applyFill="1" applyBorder="1" applyAlignment="1" applyProtection="1">
      <alignment wrapText="1"/>
      <protection/>
    </xf>
    <xf numFmtId="167" fontId="9" fillId="0" borderId="28" xfId="77" applyNumberFormat="1" applyFont="1" applyFill="1" applyBorder="1" applyAlignment="1" applyProtection="1">
      <alignment horizontal="center" vertical="center" wrapText="1"/>
      <protection/>
    </xf>
    <xf numFmtId="167" fontId="9" fillId="0" borderId="81" xfId="77" applyNumberFormat="1" applyFont="1" applyFill="1" applyBorder="1" applyAlignment="1" applyProtection="1">
      <alignment horizontal="center" vertical="center" wrapText="1"/>
      <protection/>
    </xf>
    <xf numFmtId="167" fontId="6" fillId="0" borderId="81" xfId="77" applyNumberFormat="1" applyFont="1" applyFill="1" applyBorder="1" applyAlignment="1" applyProtection="1">
      <alignment horizontal="center" vertical="center" wrapText="1"/>
      <protection/>
    </xf>
    <xf numFmtId="167" fontId="10" fillId="0" borderId="81" xfId="77" applyNumberFormat="1" applyFont="1" applyFill="1" applyBorder="1" applyAlignment="1" applyProtection="1">
      <alignment wrapText="1"/>
      <protection/>
    </xf>
    <xf numFmtId="167" fontId="9" fillId="0" borderId="20" xfId="77" applyNumberFormat="1" applyFont="1" applyFill="1" applyBorder="1" applyAlignment="1" applyProtection="1">
      <alignment horizontal="center" vertical="center" wrapText="1"/>
      <protection/>
    </xf>
    <xf numFmtId="167" fontId="10" fillId="0" borderId="32" xfId="77" applyNumberFormat="1" applyFont="1" applyFill="1" applyBorder="1" applyAlignment="1" applyProtection="1">
      <alignment wrapText="1"/>
      <protection/>
    </xf>
    <xf numFmtId="167" fontId="29" fillId="0" borderId="99" xfId="77" applyNumberFormat="1" applyFont="1" applyFill="1" applyBorder="1" applyAlignment="1" applyProtection="1">
      <alignment horizontal="center" wrapText="1"/>
      <protection/>
    </xf>
    <xf numFmtId="167" fontId="29" fillId="0" borderId="99" xfId="77" applyNumberFormat="1" applyFont="1" applyFill="1" applyBorder="1" applyAlignment="1" applyProtection="1">
      <alignment wrapText="1"/>
      <protection/>
    </xf>
    <xf numFmtId="167" fontId="9" fillId="0" borderId="59" xfId="77" applyNumberFormat="1" applyFont="1" applyFill="1" applyBorder="1" applyAlignment="1" applyProtection="1">
      <alignment horizontal="center" vertical="center" wrapText="1"/>
      <protection/>
    </xf>
    <xf numFmtId="167" fontId="9" fillId="0" borderId="46" xfId="77" applyNumberFormat="1" applyFont="1" applyFill="1" applyBorder="1" applyAlignment="1" applyProtection="1">
      <alignment vertical="center" wrapText="1"/>
      <protection/>
    </xf>
    <xf numFmtId="167" fontId="6" fillId="0" borderId="46" xfId="77" applyNumberFormat="1" applyFont="1" applyFill="1" applyBorder="1" applyAlignment="1" applyProtection="1">
      <alignment horizontal="center" wrapText="1"/>
      <protection/>
    </xf>
    <xf numFmtId="167" fontId="10" fillId="0" borderId="46" xfId="77" applyNumberFormat="1" applyFont="1" applyFill="1" applyBorder="1" applyAlignment="1" applyProtection="1">
      <alignment horizontal="center" vertical="center" wrapText="1"/>
      <protection/>
    </xf>
    <xf numFmtId="167" fontId="9" fillId="0" borderId="171" xfId="77" applyNumberFormat="1" applyFont="1" applyFill="1" applyBorder="1" applyAlignment="1" applyProtection="1">
      <alignment horizontal="center" vertical="center" wrapText="1"/>
      <protection/>
    </xf>
    <xf numFmtId="167" fontId="9" fillId="0" borderId="32" xfId="77" applyNumberFormat="1" applyFont="1" applyFill="1" applyBorder="1" applyAlignment="1" applyProtection="1">
      <alignment vertical="center" wrapText="1"/>
      <protection/>
    </xf>
    <xf numFmtId="167" fontId="8" fillId="0" borderId="32" xfId="77" applyNumberFormat="1" applyFont="1" applyFill="1" applyBorder="1" applyAlignment="1" applyProtection="1">
      <alignment horizontal="center" vertical="center" wrapText="1"/>
      <protection/>
    </xf>
    <xf numFmtId="167" fontId="9" fillId="0" borderId="35" xfId="77" applyNumberFormat="1" applyFont="1" applyFill="1" applyBorder="1" applyAlignment="1" applyProtection="1">
      <alignment vertical="center" wrapText="1"/>
      <protection/>
    </xf>
    <xf numFmtId="167" fontId="8" fillId="0" borderId="35" xfId="77" applyNumberFormat="1" applyFont="1" applyFill="1" applyBorder="1" applyAlignment="1" applyProtection="1">
      <alignment horizontal="center" vertical="center" wrapText="1"/>
      <protection/>
    </xf>
    <xf numFmtId="49" fontId="9" fillId="0" borderId="40" xfId="77" applyNumberFormat="1" applyFont="1" applyFill="1" applyBorder="1" applyAlignment="1" applyProtection="1">
      <alignment horizontal="center" vertical="center" wrapText="1"/>
      <protection/>
    </xf>
    <xf numFmtId="167" fontId="8" fillId="0" borderId="40" xfId="77" applyNumberFormat="1" applyFont="1" applyFill="1" applyBorder="1" applyAlignment="1" applyProtection="1">
      <alignment horizontal="center" vertical="center" wrapText="1"/>
      <protection/>
    </xf>
    <xf numFmtId="167" fontId="29" fillId="0" borderId="58" xfId="77" applyNumberFormat="1" applyFont="1" applyFill="1" applyBorder="1" applyAlignment="1" applyProtection="1">
      <alignment horizontal="center" wrapText="1"/>
      <protection/>
    </xf>
    <xf numFmtId="167" fontId="29" fillId="0" borderId="58" xfId="77" applyNumberFormat="1" applyFont="1" applyFill="1" applyBorder="1" applyAlignment="1" applyProtection="1">
      <alignment wrapText="1"/>
      <protection/>
    </xf>
    <xf numFmtId="167" fontId="9" fillId="0" borderId="172" xfId="77" applyNumberFormat="1" applyFont="1" applyFill="1" applyBorder="1" applyAlignment="1" applyProtection="1">
      <alignment horizontal="center" vertical="center" wrapText="1"/>
      <protection/>
    </xf>
    <xf numFmtId="49" fontId="9" fillId="0" borderId="52" xfId="77" applyNumberFormat="1" applyFont="1" applyFill="1" applyBorder="1" applyAlignment="1" applyProtection="1">
      <alignment horizontal="center" vertical="center" wrapText="1"/>
      <protection/>
    </xf>
    <xf numFmtId="167" fontId="6" fillId="0" borderId="52" xfId="77" applyNumberFormat="1" applyFont="1" applyFill="1" applyBorder="1" applyAlignment="1" applyProtection="1">
      <alignment horizontal="center" vertical="center" wrapText="1"/>
      <protection/>
    </xf>
    <xf numFmtId="167" fontId="10" fillId="0" borderId="52" xfId="77" applyNumberFormat="1" applyFont="1" applyFill="1" applyBorder="1" applyAlignment="1" applyProtection="1">
      <alignment horizontal="center" vertical="center" wrapText="1"/>
      <protection/>
    </xf>
    <xf numFmtId="167" fontId="9" fillId="0" borderId="173" xfId="77" applyNumberFormat="1" applyFont="1" applyFill="1" applyBorder="1" applyAlignment="1" applyProtection="1">
      <alignment horizontal="center" vertical="center" wrapText="1"/>
      <protection/>
    </xf>
    <xf numFmtId="49" fontId="9" fillId="0" borderId="54" xfId="77" applyNumberFormat="1" applyFont="1" applyFill="1" applyBorder="1" applyAlignment="1" applyProtection="1">
      <alignment horizontal="center" vertical="center" wrapText="1"/>
      <protection/>
    </xf>
    <xf numFmtId="49" fontId="9" fillId="0" borderId="32" xfId="77" applyNumberFormat="1" applyFont="1" applyFill="1" applyBorder="1" applyAlignment="1" applyProtection="1">
      <alignment horizontal="center" vertical="center" wrapText="1"/>
      <protection/>
    </xf>
    <xf numFmtId="167" fontId="4" fillId="0" borderId="32" xfId="77" applyNumberFormat="1" applyFont="1" applyFill="1" applyBorder="1" applyAlignment="1" applyProtection="1">
      <alignment horizontal="center" vertical="center" wrapText="1"/>
      <protection/>
    </xf>
    <xf numFmtId="49" fontId="9" fillId="0" borderId="55" xfId="77" applyNumberFormat="1" applyFont="1" applyFill="1" applyBorder="1" applyAlignment="1" applyProtection="1">
      <alignment horizontal="center" vertical="center" wrapText="1"/>
      <protection/>
    </xf>
    <xf numFmtId="49" fontId="9" fillId="0" borderId="56" xfId="77" applyNumberFormat="1" applyFont="1" applyFill="1" applyBorder="1" applyAlignment="1" applyProtection="1">
      <alignment horizontal="center" vertical="center" wrapText="1"/>
      <protection/>
    </xf>
    <xf numFmtId="167" fontId="9" fillId="0" borderId="174" xfId="77" applyNumberFormat="1" applyFont="1" applyFill="1" applyBorder="1" applyAlignment="1" applyProtection="1">
      <alignment horizontal="center" vertical="center" wrapText="1"/>
      <protection/>
    </xf>
    <xf numFmtId="167" fontId="9" fillId="0" borderId="64" xfId="77" applyNumberFormat="1" applyFont="1" applyFill="1" applyBorder="1" applyAlignment="1" applyProtection="1">
      <alignment horizontal="center" vertical="center" wrapText="1"/>
      <protection/>
    </xf>
    <xf numFmtId="49" fontId="9" fillId="0" borderId="65" xfId="77" applyNumberFormat="1" applyFont="1" applyFill="1" applyBorder="1" applyAlignment="1" applyProtection="1">
      <alignment horizontal="center" vertical="center" wrapText="1"/>
      <protection/>
    </xf>
    <xf numFmtId="167" fontId="6" fillId="0" borderId="65" xfId="77" applyNumberFormat="1" applyFont="1" applyFill="1" applyBorder="1" applyAlignment="1" applyProtection="1">
      <alignment horizontal="center" vertical="center" wrapText="1"/>
      <protection/>
    </xf>
    <xf numFmtId="167" fontId="8" fillId="0" borderId="65" xfId="77" applyNumberFormat="1" applyFont="1" applyFill="1" applyBorder="1" applyAlignment="1" applyProtection="1">
      <alignment horizontal="center" vertical="center" wrapText="1"/>
      <protection/>
    </xf>
    <xf numFmtId="167" fontId="9" fillId="0" borderId="175" xfId="77" applyNumberFormat="1" applyFont="1" applyFill="1" applyBorder="1" applyAlignment="1" applyProtection="1">
      <alignment horizontal="center" vertical="center" wrapText="1"/>
      <protection/>
    </xf>
    <xf numFmtId="49" fontId="9" fillId="0" borderId="122" xfId="77" applyNumberFormat="1" applyFont="1" applyFill="1" applyBorder="1" applyAlignment="1" applyProtection="1">
      <alignment horizontal="center" vertical="center" wrapText="1"/>
      <protection/>
    </xf>
    <xf numFmtId="167" fontId="6" fillId="0" borderId="122" xfId="77" applyNumberFormat="1" applyFont="1" applyFill="1" applyBorder="1" applyAlignment="1" applyProtection="1">
      <alignment horizontal="center" vertical="center" wrapText="1"/>
      <protection/>
    </xf>
    <xf numFmtId="167" fontId="8" fillId="0" borderId="122" xfId="77" applyNumberFormat="1" applyFont="1" applyFill="1" applyBorder="1" applyAlignment="1" applyProtection="1">
      <alignment horizontal="center" vertical="center" wrapText="1"/>
      <protection/>
    </xf>
    <xf numFmtId="167" fontId="6" fillId="0" borderId="46" xfId="77" applyNumberFormat="1" applyFont="1" applyFill="1" applyBorder="1" applyAlignment="1" applyProtection="1">
      <alignment horizontal="center" vertical="center" wrapText="1"/>
      <protection/>
    </xf>
    <xf numFmtId="167" fontId="8" fillId="0" borderId="46" xfId="77" applyNumberFormat="1" applyFont="1" applyFill="1" applyBorder="1" applyAlignment="1" applyProtection="1">
      <alignment horizontal="center" vertical="center" wrapText="1"/>
      <protection/>
    </xf>
    <xf numFmtId="0" fontId="48" fillId="48" borderId="0" xfId="101" applyFont="1" applyFill="1">
      <alignment/>
      <protection/>
    </xf>
    <xf numFmtId="169" fontId="40" fillId="0" borderId="0" xfId="77" applyNumberFormat="1" applyFont="1" applyBorder="1" applyAlignment="1">
      <alignment horizontal="center"/>
    </xf>
    <xf numFmtId="0" fontId="31" fillId="47" borderId="176" xfId="101" applyFont="1" applyFill="1" applyBorder="1" applyAlignment="1">
      <alignment/>
      <protection/>
    </xf>
    <xf numFmtId="0" fontId="11" fillId="0" borderId="62" xfId="107" applyFont="1" applyFill="1" applyBorder="1" applyAlignment="1">
      <alignment horizontal="center" vertical="center" wrapText="1"/>
      <protection/>
    </xf>
    <xf numFmtId="3" fontId="11" fillId="0" borderId="77" xfId="96" applyNumberFormat="1" applyFont="1" applyFill="1" applyBorder="1">
      <alignment/>
      <protection/>
    </xf>
    <xf numFmtId="3" fontId="11" fillId="0" borderId="78" xfId="96" applyNumberFormat="1" applyFont="1" applyFill="1" applyBorder="1">
      <alignment/>
      <protection/>
    </xf>
    <xf numFmtId="3" fontId="11" fillId="0" borderId="76" xfId="96" applyNumberFormat="1" applyFont="1" applyFill="1" applyBorder="1">
      <alignment/>
      <protection/>
    </xf>
    <xf numFmtId="3" fontId="7" fillId="0" borderId="69" xfId="96" applyNumberFormat="1" applyFont="1" applyFill="1" applyBorder="1">
      <alignment/>
      <protection/>
    </xf>
    <xf numFmtId="3" fontId="11" fillId="0" borderId="41" xfId="96" applyNumberFormat="1" applyFont="1" applyFill="1" applyBorder="1">
      <alignment/>
      <protection/>
    </xf>
    <xf numFmtId="3" fontId="7" fillId="0" borderId="64" xfId="96" applyNumberFormat="1" applyFont="1" applyFill="1" applyBorder="1">
      <alignment/>
      <protection/>
    </xf>
    <xf numFmtId="3" fontId="11" fillId="0" borderId="43" xfId="96" applyNumberFormat="1" applyFont="1" applyFill="1" applyBorder="1">
      <alignment/>
      <protection/>
    </xf>
    <xf numFmtId="3" fontId="7" fillId="0" borderId="71" xfId="96" applyNumberFormat="1" applyFont="1" applyFill="1" applyBorder="1">
      <alignment/>
      <protection/>
    </xf>
    <xf numFmtId="3" fontId="11" fillId="0" borderId="73" xfId="96" applyNumberFormat="1" applyFont="1" applyFill="1" applyBorder="1">
      <alignment/>
      <protection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80" fillId="0" borderId="69" xfId="98" applyFont="1" applyBorder="1" applyAlignment="1">
      <alignment horizontal="center" wrapText="1"/>
      <protection/>
    </xf>
    <xf numFmtId="0" fontId="80" fillId="0" borderId="70" xfId="98" applyFont="1" applyBorder="1" applyAlignment="1">
      <alignment horizontal="center" vertical="center"/>
      <protection/>
    </xf>
    <xf numFmtId="0" fontId="80" fillId="0" borderId="70" xfId="98" applyFont="1" applyBorder="1" applyAlignment="1">
      <alignment horizontal="center" vertical="center" wrapText="1"/>
      <protection/>
    </xf>
    <xf numFmtId="0" fontId="81" fillId="0" borderId="70" xfId="98" applyFont="1" applyBorder="1" applyAlignment="1">
      <alignment horizontal="center" vertical="center" wrapText="1"/>
      <protection/>
    </xf>
    <xf numFmtId="0" fontId="80" fillId="0" borderId="70" xfId="98" applyFont="1" applyFill="1" applyBorder="1" applyAlignment="1">
      <alignment horizontal="center" vertical="center" wrapText="1"/>
      <protection/>
    </xf>
    <xf numFmtId="0" fontId="80" fillId="0" borderId="41" xfId="98" applyFont="1" applyFill="1" applyBorder="1" applyAlignment="1">
      <alignment horizontal="center" vertical="center" wrapText="1"/>
      <protection/>
    </xf>
    <xf numFmtId="0" fontId="37" fillId="0" borderId="65" xfId="0" applyFont="1" applyBorder="1" applyAlignment="1">
      <alignment/>
    </xf>
    <xf numFmtId="0" fontId="37" fillId="0" borderId="43" xfId="0" applyFont="1" applyBorder="1" applyAlignment="1">
      <alignment/>
    </xf>
    <xf numFmtId="0" fontId="31" fillId="0" borderId="64" xfId="98" applyFont="1" applyBorder="1">
      <alignment/>
      <protection/>
    </xf>
    <xf numFmtId="0" fontId="31" fillId="0" borderId="65" xfId="98" applyFont="1" applyBorder="1">
      <alignment/>
      <protection/>
    </xf>
    <xf numFmtId="5" fontId="34" fillId="0" borderId="65" xfId="0" applyNumberFormat="1" applyFont="1" applyBorder="1" applyAlignment="1">
      <alignment/>
    </xf>
    <xf numFmtId="0" fontId="61" fillId="0" borderId="64" xfId="98" applyFont="1" applyBorder="1">
      <alignment/>
      <protection/>
    </xf>
    <xf numFmtId="0" fontId="61" fillId="0" borderId="65" xfId="98" applyFont="1" applyBorder="1">
      <alignment/>
      <protection/>
    </xf>
    <xf numFmtId="172" fontId="34" fillId="0" borderId="65" xfId="0" applyNumberFormat="1" applyFont="1" applyBorder="1" applyAlignment="1">
      <alignment/>
    </xf>
    <xf numFmtId="172" fontId="34" fillId="0" borderId="43" xfId="0" applyNumberFormat="1" applyFont="1" applyBorder="1" applyAlignment="1">
      <alignment/>
    </xf>
    <xf numFmtId="172" fontId="35" fillId="0" borderId="65" xfId="0" applyNumberFormat="1" applyFont="1" applyBorder="1" applyAlignment="1">
      <alignment/>
    </xf>
    <xf numFmtId="172" fontId="35" fillId="0" borderId="43" xfId="0" applyNumberFormat="1" applyFont="1" applyBorder="1" applyAlignment="1">
      <alignment/>
    </xf>
    <xf numFmtId="0" fontId="80" fillId="0" borderId="64" xfId="98" applyFont="1" applyBorder="1">
      <alignment/>
      <protection/>
    </xf>
    <xf numFmtId="0" fontId="80" fillId="0" borderId="65" xfId="98" applyFont="1" applyBorder="1">
      <alignment/>
      <protection/>
    </xf>
    <xf numFmtId="170" fontId="32" fillId="0" borderId="65" xfId="77" applyNumberFormat="1" applyFont="1" applyBorder="1" applyAlignment="1">
      <alignment/>
    </xf>
    <xf numFmtId="170" fontId="31" fillId="0" borderId="65" xfId="77" applyNumberFormat="1" applyFont="1" applyBorder="1" applyAlignment="1">
      <alignment/>
    </xf>
    <xf numFmtId="171" fontId="32" fillId="0" borderId="65" xfId="116" applyNumberFormat="1" applyFont="1" applyBorder="1" applyAlignment="1">
      <alignment/>
    </xf>
    <xf numFmtId="5" fontId="32" fillId="0" borderId="65" xfId="116" applyNumberFormat="1" applyFont="1" applyBorder="1" applyAlignment="1">
      <alignment/>
    </xf>
    <xf numFmtId="0" fontId="35" fillId="0" borderId="65" xfId="98" applyFont="1" applyBorder="1">
      <alignment/>
      <protection/>
    </xf>
    <xf numFmtId="170" fontId="31" fillId="0" borderId="65" xfId="77" applyNumberFormat="1" applyFont="1" applyFill="1" applyBorder="1" applyAlignment="1">
      <alignment/>
    </xf>
    <xf numFmtId="0" fontId="37" fillId="0" borderId="64" xfId="98" applyFont="1" applyBorder="1">
      <alignment/>
      <protection/>
    </xf>
    <xf numFmtId="173" fontId="32" fillId="0" borderId="65" xfId="77" applyNumberFormat="1" applyFont="1" applyBorder="1" applyAlignment="1">
      <alignment/>
    </xf>
    <xf numFmtId="173" fontId="31" fillId="0" borderId="65" xfId="77" applyNumberFormat="1" applyFont="1" applyBorder="1" applyAlignment="1">
      <alignment/>
    </xf>
    <xf numFmtId="5" fontId="61" fillId="0" borderId="65" xfId="77" applyNumberFormat="1" applyFont="1" applyBorder="1" applyAlignment="1">
      <alignment horizontal="right"/>
    </xf>
    <xf numFmtId="0" fontId="80" fillId="0" borderId="65" xfId="98" applyFont="1" applyBorder="1" applyAlignment="1">
      <alignment horizontal="center"/>
      <protection/>
    </xf>
    <xf numFmtId="0" fontId="81" fillId="0" borderId="65" xfId="98" applyFont="1" applyBorder="1" applyAlignment="1">
      <alignment horizontal="center"/>
      <protection/>
    </xf>
    <xf numFmtId="0" fontId="81" fillId="0" borderId="65" xfId="98" applyFont="1" applyBorder="1">
      <alignment/>
      <protection/>
    </xf>
    <xf numFmtId="172" fontId="35" fillId="0" borderId="65" xfId="0" applyNumberFormat="1" applyFont="1" applyFill="1" applyBorder="1" applyAlignment="1">
      <alignment/>
    </xf>
    <xf numFmtId="172" fontId="35" fillId="0" borderId="43" xfId="0" applyNumberFormat="1" applyFont="1" applyFill="1" applyBorder="1" applyAlignment="1">
      <alignment/>
    </xf>
    <xf numFmtId="0" fontId="61" fillId="0" borderId="71" xfId="98" applyFont="1" applyBorder="1">
      <alignment/>
      <protection/>
    </xf>
    <xf numFmtId="0" fontId="35" fillId="0" borderId="72" xfId="98" applyFont="1" applyBorder="1">
      <alignment/>
      <protection/>
    </xf>
    <xf numFmtId="5" fontId="32" fillId="0" borderId="72" xfId="116" applyNumberFormat="1" applyFont="1" applyBorder="1" applyAlignment="1">
      <alignment/>
    </xf>
    <xf numFmtId="172" fontId="35" fillId="0" borderId="72" xfId="0" applyNumberFormat="1" applyFont="1" applyBorder="1" applyAlignment="1">
      <alignment/>
    </xf>
    <xf numFmtId="172" fontId="35" fillId="0" borderId="73" xfId="0" applyNumberFormat="1" applyFont="1" applyBorder="1" applyAlignment="1">
      <alignment/>
    </xf>
    <xf numFmtId="172" fontId="56" fillId="0" borderId="101" xfId="116" applyNumberFormat="1" applyFont="1" applyBorder="1" applyAlignment="1">
      <alignment/>
    </xf>
    <xf numFmtId="0" fontId="80" fillId="0" borderId="177" xfId="98" applyFont="1" applyBorder="1">
      <alignment/>
      <protection/>
    </xf>
    <xf numFmtId="172" fontId="56" fillId="0" borderId="177" xfId="116" applyNumberFormat="1" applyFont="1" applyBorder="1" applyAlignment="1">
      <alignment/>
    </xf>
    <xf numFmtId="0" fontId="37" fillId="0" borderId="177" xfId="0" applyFont="1" applyBorder="1" applyAlignment="1">
      <alignment/>
    </xf>
    <xf numFmtId="0" fontId="37" fillId="0" borderId="0" xfId="0" applyFont="1" applyBorder="1" applyAlignment="1">
      <alignment/>
    </xf>
    <xf numFmtId="0" fontId="35" fillId="0" borderId="65" xfId="0" applyFont="1" applyBorder="1" applyAlignment="1">
      <alignment/>
    </xf>
    <xf numFmtId="0" fontId="36" fillId="0" borderId="65" xfId="0" applyFont="1" applyBorder="1" applyAlignment="1">
      <alignment/>
    </xf>
    <xf numFmtId="5" fontId="61" fillId="0" borderId="43" xfId="77" applyNumberFormat="1" applyFont="1" applyBorder="1" applyAlignment="1">
      <alignment horizontal="right"/>
    </xf>
    <xf numFmtId="0" fontId="35" fillId="0" borderId="72" xfId="0" applyFont="1" applyBorder="1" applyAlignment="1">
      <alignment/>
    </xf>
    <xf numFmtId="0" fontId="37" fillId="0" borderId="72" xfId="0" applyFont="1" applyBorder="1" applyAlignment="1">
      <alignment/>
    </xf>
    <xf numFmtId="0" fontId="36" fillId="0" borderId="72" xfId="0" applyFont="1" applyBorder="1" applyAlignment="1">
      <alignment/>
    </xf>
    <xf numFmtId="5" fontId="61" fillId="0" borderId="72" xfId="77" applyNumberFormat="1" applyFont="1" applyBorder="1" applyAlignment="1">
      <alignment horizontal="right"/>
    </xf>
    <xf numFmtId="5" fontId="61" fillId="0" borderId="73" xfId="77" applyNumberFormat="1" applyFont="1" applyBorder="1" applyAlignment="1">
      <alignment horizontal="right"/>
    </xf>
    <xf numFmtId="5" fontId="11" fillId="0" borderId="101" xfId="0" applyNumberFormat="1" applyFont="1" applyBorder="1" applyAlignment="1">
      <alignment/>
    </xf>
    <xf numFmtId="0" fontId="37" fillId="0" borderId="128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73" xfId="98" applyFont="1" applyBorder="1" applyAlignment="1">
      <alignment horizontal="center" wrapText="1"/>
      <protection/>
    </xf>
    <xf numFmtId="0" fontId="61" fillId="0" borderId="69" xfId="98" applyFont="1" applyBorder="1">
      <alignment/>
      <protection/>
    </xf>
    <xf numFmtId="0" fontId="35" fillId="0" borderId="70" xfId="0" applyFont="1" applyBorder="1" applyAlignment="1">
      <alignment/>
    </xf>
    <xf numFmtId="0" fontId="37" fillId="0" borderId="70" xfId="0" applyFont="1" applyBorder="1" applyAlignment="1">
      <alignment/>
    </xf>
    <xf numFmtId="0" fontId="36" fillId="0" borderId="70" xfId="0" applyFont="1" applyBorder="1" applyAlignment="1">
      <alignment/>
    </xf>
    <xf numFmtId="5" fontId="61" fillId="0" borderId="70" xfId="77" applyNumberFormat="1" applyFont="1" applyBorder="1" applyAlignment="1">
      <alignment horizontal="right"/>
    </xf>
    <xf numFmtId="171" fontId="36" fillId="0" borderId="70" xfId="113" applyNumberFormat="1" applyFont="1" applyBorder="1" applyAlignment="1">
      <alignment/>
    </xf>
    <xf numFmtId="171" fontId="36" fillId="0" borderId="41" xfId="113" applyNumberFormat="1" applyFont="1" applyBorder="1" applyAlignment="1">
      <alignment/>
    </xf>
    <xf numFmtId="171" fontId="36" fillId="0" borderId="65" xfId="113" applyNumberFormat="1" applyFont="1" applyBorder="1" applyAlignment="1">
      <alignment/>
    </xf>
    <xf numFmtId="171" fontId="36" fillId="0" borderId="43" xfId="113" applyNumberFormat="1" applyFont="1" applyBorder="1" applyAlignment="1">
      <alignment/>
    </xf>
    <xf numFmtId="171" fontId="36" fillId="0" borderId="72" xfId="113" applyNumberFormat="1" applyFont="1" applyBorder="1" applyAlignment="1">
      <alignment/>
    </xf>
    <xf numFmtId="171" fontId="36" fillId="0" borderId="73" xfId="113" applyNumberFormat="1" applyFont="1" applyBorder="1" applyAlignment="1">
      <alignment/>
    </xf>
    <xf numFmtId="0" fontId="36" fillId="0" borderId="101" xfId="0" applyFont="1" applyBorder="1" applyAlignment="1">
      <alignment/>
    </xf>
    <xf numFmtId="5" fontId="31" fillId="0" borderId="101" xfId="77" applyNumberFormat="1" applyFont="1" applyBorder="1" applyAlignment="1">
      <alignment horizontal="right"/>
    </xf>
    <xf numFmtId="171" fontId="36" fillId="0" borderId="101" xfId="113" applyNumberFormat="1" applyFont="1" applyBorder="1" applyAlignment="1">
      <alignment/>
    </xf>
    <xf numFmtId="5" fontId="6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7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5" fontId="6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71" fontId="62" fillId="0" borderId="0" xfId="0" applyNumberFormat="1" applyFont="1" applyBorder="1" applyAlignment="1">
      <alignment/>
    </xf>
    <xf numFmtId="5" fontId="6" fillId="0" borderId="0" xfId="0" applyNumberFormat="1" applyFont="1" applyAlignment="1">
      <alignment/>
    </xf>
    <xf numFmtId="0" fontId="31" fillId="0" borderId="0" xfId="101" applyFont="1" applyFill="1">
      <alignment/>
      <protection/>
    </xf>
    <xf numFmtId="0" fontId="7" fillId="0" borderId="19" xfId="107" applyFont="1" applyFill="1" applyBorder="1" applyAlignment="1">
      <alignment horizontal="center" vertical="center" wrapText="1"/>
      <protection/>
    </xf>
    <xf numFmtId="0" fontId="7" fillId="0" borderId="0" xfId="107" applyFont="1" applyFill="1" applyBorder="1" applyAlignment="1">
      <alignment horizontal="center" vertical="center"/>
      <protection/>
    </xf>
    <xf numFmtId="0" fontId="36" fillId="0" borderId="62" xfId="108" applyFont="1" applyFill="1" applyBorder="1" applyAlignment="1">
      <alignment vertical="center" wrapText="1"/>
      <protection/>
    </xf>
    <xf numFmtId="0" fontId="34" fillId="0" borderId="0" xfId="107" applyFont="1" applyFill="1" applyBorder="1" applyAlignment="1">
      <alignment horizontal="center" wrapText="1"/>
      <protection/>
    </xf>
    <xf numFmtId="0" fontId="7" fillId="0" borderId="0" xfId="107" applyFont="1" applyFill="1" applyBorder="1">
      <alignment/>
      <protection/>
    </xf>
    <xf numFmtId="0" fontId="31" fillId="0" borderId="104" xfId="101" applyFont="1" applyFill="1" applyBorder="1">
      <alignment/>
      <protection/>
    </xf>
    <xf numFmtId="0" fontId="31" fillId="0" borderId="63" xfId="101" applyFont="1" applyFill="1" applyBorder="1">
      <alignment/>
      <protection/>
    </xf>
    <xf numFmtId="0" fontId="32" fillId="0" borderId="64" xfId="101" applyFont="1" applyFill="1" applyBorder="1">
      <alignment/>
      <protection/>
    </xf>
    <xf numFmtId="49" fontId="32" fillId="0" borderId="65" xfId="101" applyNumberFormat="1" applyFont="1" applyFill="1" applyBorder="1">
      <alignment/>
      <protection/>
    </xf>
    <xf numFmtId="0" fontId="32" fillId="0" borderId="65" xfId="101" applyFont="1" applyFill="1" applyBorder="1">
      <alignment/>
      <protection/>
    </xf>
    <xf numFmtId="0" fontId="45" fillId="0" borderId="65" xfId="101" applyFont="1" applyFill="1" applyBorder="1">
      <alignment/>
      <protection/>
    </xf>
    <xf numFmtId="3" fontId="32" fillId="0" borderId="65" xfId="101" applyNumberFormat="1" applyFont="1" applyFill="1" applyBorder="1">
      <alignment/>
      <protection/>
    </xf>
    <xf numFmtId="169" fontId="31" fillId="0" borderId="65" xfId="76" applyNumberFormat="1" applyFont="1" applyFill="1" applyBorder="1" applyAlignment="1">
      <alignment/>
    </xf>
    <xf numFmtId="0" fontId="32" fillId="0" borderId="43" xfId="101" applyFont="1" applyFill="1" applyBorder="1">
      <alignment/>
      <protection/>
    </xf>
    <xf numFmtId="0" fontId="35" fillId="0" borderId="64" xfId="101" applyFont="1" applyFill="1" applyBorder="1">
      <alignment/>
      <protection/>
    </xf>
    <xf numFmtId="49" fontId="35" fillId="0" borderId="65" xfId="101" applyNumberFormat="1" applyFont="1" applyFill="1" applyBorder="1">
      <alignment/>
      <protection/>
    </xf>
    <xf numFmtId="0" fontId="55" fillId="0" borderId="65" xfId="101" applyFont="1" applyFill="1" applyBorder="1" applyAlignment="1" quotePrefix="1">
      <alignment horizontal="center" wrapText="1"/>
      <protection/>
    </xf>
    <xf numFmtId="0" fontId="35" fillId="0" borderId="65" xfId="101" applyFont="1" applyFill="1" applyBorder="1">
      <alignment/>
      <protection/>
    </xf>
    <xf numFmtId="0" fontId="7" fillId="0" borderId="65" xfId="101" applyFont="1" applyFill="1" applyBorder="1">
      <alignment/>
      <protection/>
    </xf>
    <xf numFmtId="3" fontId="35" fillId="0" borderId="65" xfId="101" applyNumberFormat="1" applyFont="1" applyFill="1" applyBorder="1">
      <alignment/>
      <protection/>
    </xf>
    <xf numFmtId="169" fontId="34" fillId="0" borderId="65" xfId="76" applyNumberFormat="1" applyFont="1" applyFill="1" applyBorder="1" applyAlignment="1">
      <alignment/>
    </xf>
    <xf numFmtId="0" fontId="35" fillId="0" borderId="0" xfId="101" applyFont="1" applyFill="1">
      <alignment/>
      <protection/>
    </xf>
    <xf numFmtId="3" fontId="35" fillId="0" borderId="64" xfId="101" applyNumberFormat="1" applyFont="1" applyFill="1" applyBorder="1">
      <alignment/>
      <protection/>
    </xf>
    <xf numFmtId="168" fontId="35" fillId="0" borderId="65" xfId="101" applyNumberFormat="1" applyFont="1" applyFill="1" applyBorder="1" applyAlignment="1">
      <alignment/>
      <protection/>
    </xf>
    <xf numFmtId="0" fontId="35" fillId="0" borderId="43" xfId="101" applyFont="1" applyFill="1" applyBorder="1">
      <alignment/>
      <protection/>
    </xf>
    <xf numFmtId="169" fontId="35" fillId="0" borderId="43" xfId="76" applyNumberFormat="1" applyFont="1" applyFill="1" applyBorder="1" applyAlignment="1">
      <alignment/>
    </xf>
    <xf numFmtId="0" fontId="35" fillId="0" borderId="71" xfId="101" applyFont="1" applyFill="1" applyBorder="1">
      <alignment/>
      <protection/>
    </xf>
    <xf numFmtId="49" fontId="35" fillId="0" borderId="72" xfId="101" applyNumberFormat="1" applyFont="1" applyFill="1" applyBorder="1">
      <alignment/>
      <protection/>
    </xf>
    <xf numFmtId="0" fontId="55" fillId="0" borderId="72" xfId="101" applyFont="1" applyFill="1" applyBorder="1" applyAlignment="1" quotePrefix="1">
      <alignment horizontal="center" wrapText="1"/>
      <protection/>
    </xf>
    <xf numFmtId="0" fontId="35" fillId="0" borderId="72" xfId="101" applyFont="1" applyFill="1" applyBorder="1">
      <alignment/>
      <protection/>
    </xf>
    <xf numFmtId="0" fontId="7" fillId="0" borderId="72" xfId="101" applyFont="1" applyFill="1" applyBorder="1">
      <alignment/>
      <protection/>
    </xf>
    <xf numFmtId="3" fontId="35" fillId="0" borderId="72" xfId="101" applyNumberFormat="1" applyFont="1" applyFill="1" applyBorder="1">
      <alignment/>
      <protection/>
    </xf>
    <xf numFmtId="169" fontId="34" fillId="0" borderId="72" xfId="76" applyNumberFormat="1" applyFont="1" applyFill="1" applyBorder="1" applyAlignment="1">
      <alignment/>
    </xf>
    <xf numFmtId="169" fontId="35" fillId="0" borderId="73" xfId="76" applyNumberFormat="1" applyFont="1" applyFill="1" applyBorder="1" applyAlignment="1">
      <alignment/>
    </xf>
    <xf numFmtId="3" fontId="35" fillId="0" borderId="71" xfId="101" applyNumberFormat="1" applyFont="1" applyFill="1" applyBorder="1">
      <alignment/>
      <protection/>
    </xf>
    <xf numFmtId="168" fontId="35" fillId="0" borderId="72" xfId="101" applyNumberFormat="1" applyFont="1" applyFill="1" applyBorder="1" applyAlignment="1">
      <alignment/>
      <protection/>
    </xf>
    <xf numFmtId="0" fontId="35" fillId="0" borderId="73" xfId="101" applyFont="1" applyFill="1" applyBorder="1">
      <alignment/>
      <protection/>
    </xf>
    <xf numFmtId="0" fontId="32" fillId="0" borderId="101" xfId="101" applyFont="1" applyFill="1" applyBorder="1" applyAlignment="1">
      <alignment horizontal="center"/>
      <protection/>
    </xf>
    <xf numFmtId="0" fontId="38" fillId="0" borderId="101" xfId="101" applyFont="1" applyFill="1" applyBorder="1">
      <alignment/>
      <protection/>
    </xf>
    <xf numFmtId="0" fontId="56" fillId="0" borderId="101" xfId="101" applyFont="1" applyFill="1" applyBorder="1">
      <alignment/>
      <protection/>
    </xf>
    <xf numFmtId="169" fontId="31" fillId="0" borderId="68" xfId="76" applyNumberFormat="1" applyFont="1" applyFill="1" applyBorder="1" applyAlignment="1">
      <alignment/>
    </xf>
    <xf numFmtId="3" fontId="32" fillId="0" borderId="102" xfId="101" applyNumberFormat="1" applyFont="1" applyFill="1" applyBorder="1" applyAlignment="1">
      <alignment/>
      <protection/>
    </xf>
    <xf numFmtId="3" fontId="32" fillId="0" borderId="67" xfId="101" applyNumberFormat="1" applyFont="1" applyFill="1" applyBorder="1" applyAlignment="1">
      <alignment/>
      <protection/>
    </xf>
    <xf numFmtId="0" fontId="32" fillId="0" borderId="68" xfId="101" applyFont="1" applyFill="1" applyBorder="1" applyAlignment="1">
      <alignment/>
      <protection/>
    </xf>
    <xf numFmtId="0" fontId="32" fillId="0" borderId="19" xfId="101" applyFont="1" applyFill="1" applyBorder="1">
      <alignment/>
      <protection/>
    </xf>
    <xf numFmtId="3" fontId="32" fillId="0" borderId="0" xfId="101" applyNumberFormat="1" applyFont="1" applyFill="1">
      <alignment/>
      <protection/>
    </xf>
    <xf numFmtId="0" fontId="32" fillId="0" borderId="0" xfId="101" applyFont="1" applyFill="1" applyBorder="1" applyAlignment="1">
      <alignment horizontal="center"/>
      <protection/>
    </xf>
    <xf numFmtId="0" fontId="38" fillId="0" borderId="0" xfId="101" applyFont="1" applyFill="1" applyBorder="1">
      <alignment/>
      <protection/>
    </xf>
    <xf numFmtId="0" fontId="56" fillId="0" borderId="0" xfId="101" applyFont="1" applyFill="1" applyBorder="1">
      <alignment/>
      <protection/>
    </xf>
    <xf numFmtId="0" fontId="32" fillId="0" borderId="0" xfId="101" applyFont="1" applyFill="1" applyBorder="1">
      <alignment/>
      <protection/>
    </xf>
    <xf numFmtId="0" fontId="32" fillId="0" borderId="61" xfId="101" applyFont="1" applyFill="1" applyBorder="1" applyAlignment="1">
      <alignment/>
      <protection/>
    </xf>
    <xf numFmtId="3" fontId="32" fillId="0" borderId="61" xfId="101" applyNumberFormat="1" applyFont="1" applyFill="1" applyBorder="1" applyAlignment="1">
      <alignment/>
      <protection/>
    </xf>
    <xf numFmtId="0" fontId="32" fillId="0" borderId="61" xfId="101" applyFont="1" applyFill="1" applyBorder="1">
      <alignment/>
      <protection/>
    </xf>
    <xf numFmtId="169" fontId="32" fillId="0" borderId="0" xfId="101" applyNumberFormat="1" applyFont="1" applyFill="1">
      <alignment/>
      <protection/>
    </xf>
    <xf numFmtId="0" fontId="31" fillId="0" borderId="69" xfId="101" applyFont="1" applyFill="1" applyBorder="1">
      <alignment/>
      <protection/>
    </xf>
    <xf numFmtId="0" fontId="31" fillId="0" borderId="178" xfId="101" applyFont="1" applyFill="1" applyBorder="1">
      <alignment/>
      <protection/>
    </xf>
    <xf numFmtId="0" fontId="31" fillId="0" borderId="70" xfId="101" applyFont="1" applyFill="1" applyBorder="1">
      <alignment/>
      <protection/>
    </xf>
    <xf numFmtId="0" fontId="31" fillId="0" borderId="41" xfId="101" applyFont="1" applyFill="1" applyBorder="1">
      <alignment/>
      <protection/>
    </xf>
    <xf numFmtId="0" fontId="31" fillId="0" borderId="21" xfId="101" applyFont="1" applyFill="1" applyBorder="1">
      <alignment/>
      <protection/>
    </xf>
    <xf numFmtId="49" fontId="32" fillId="0" borderId="65" xfId="101" applyNumberFormat="1" applyFont="1" applyFill="1" applyBorder="1" applyAlignment="1">
      <alignment horizontal="center" vertical="center"/>
      <protection/>
    </xf>
    <xf numFmtId="0" fontId="32" fillId="0" borderId="65" xfId="101" applyFont="1" applyFill="1" applyBorder="1" applyAlignment="1">
      <alignment horizontal="center" vertical="center" wrapText="1"/>
      <protection/>
    </xf>
    <xf numFmtId="37" fontId="32" fillId="0" borderId="65" xfId="76" applyNumberFormat="1" applyFont="1" applyFill="1" applyBorder="1" applyAlignment="1">
      <alignment/>
    </xf>
    <xf numFmtId="0" fontId="32" fillId="0" borderId="66" xfId="101" applyFont="1" applyFill="1" applyBorder="1">
      <alignment/>
      <protection/>
    </xf>
    <xf numFmtId="3" fontId="32" fillId="0" borderId="134" xfId="101" applyNumberFormat="1" applyFont="1" applyFill="1" applyBorder="1" applyAlignment="1">
      <alignment horizontal="center" vertical="center"/>
      <protection/>
    </xf>
    <xf numFmtId="3" fontId="32" fillId="0" borderId="135" xfId="101" applyNumberFormat="1" applyFont="1" applyFill="1" applyBorder="1" applyAlignment="1">
      <alignment horizontal="center" vertical="center"/>
      <protection/>
    </xf>
    <xf numFmtId="0" fontId="32" fillId="0" borderId="128" xfId="101" applyFont="1" applyFill="1" applyBorder="1" applyAlignment="1">
      <alignment horizontal="center" vertical="center"/>
      <protection/>
    </xf>
    <xf numFmtId="169" fontId="31" fillId="0" borderId="65" xfId="76" applyNumberFormat="1" applyFont="1" applyFill="1" applyBorder="1" applyAlignment="1">
      <alignment vertical="center"/>
    </xf>
    <xf numFmtId="169" fontId="32" fillId="0" borderId="65" xfId="76" applyNumberFormat="1" applyFont="1" applyFill="1" applyBorder="1" applyAlignment="1">
      <alignment vertical="center"/>
    </xf>
    <xf numFmtId="37" fontId="32" fillId="0" borderId="43" xfId="76" applyNumberFormat="1" applyFont="1" applyFill="1" applyBorder="1" applyAlignment="1">
      <alignment/>
    </xf>
    <xf numFmtId="169" fontId="32" fillId="0" borderId="43" xfId="74" applyNumberFormat="1" applyFont="1" applyFill="1" applyBorder="1" applyAlignment="1">
      <alignment/>
    </xf>
    <xf numFmtId="0" fontId="32" fillId="0" borderId="65" xfId="101" applyFont="1" applyFill="1" applyBorder="1" applyAlignment="1">
      <alignment wrapText="1"/>
      <protection/>
    </xf>
    <xf numFmtId="0" fontId="32" fillId="0" borderId="177" xfId="101" applyFont="1" applyFill="1" applyBorder="1">
      <alignment/>
      <protection/>
    </xf>
    <xf numFmtId="0" fontId="32" fillId="0" borderId="71" xfId="101" applyFont="1" applyFill="1" applyBorder="1">
      <alignment/>
      <protection/>
    </xf>
    <xf numFmtId="0" fontId="32" fillId="0" borderId="72" xfId="101" applyFont="1" applyFill="1" applyBorder="1">
      <alignment/>
      <protection/>
    </xf>
    <xf numFmtId="169" fontId="32" fillId="0" borderId="73" xfId="74" applyNumberFormat="1" applyFont="1" applyFill="1" applyBorder="1" applyAlignment="1">
      <alignment/>
    </xf>
    <xf numFmtId="0" fontId="32" fillId="0" borderId="179" xfId="101" applyFont="1" applyFill="1" applyBorder="1">
      <alignment/>
      <protection/>
    </xf>
    <xf numFmtId="0" fontId="32" fillId="0" borderId="103" xfId="101" applyFont="1" applyFill="1" applyBorder="1">
      <alignment/>
      <protection/>
    </xf>
    <xf numFmtId="169" fontId="32" fillId="0" borderId="146" xfId="74" applyNumberFormat="1" applyFont="1" applyFill="1" applyBorder="1" applyAlignment="1">
      <alignment/>
    </xf>
    <xf numFmtId="49" fontId="32" fillId="0" borderId="72" xfId="101" applyNumberFormat="1" applyFont="1" applyFill="1" applyBorder="1" applyAlignment="1">
      <alignment horizontal="center" vertical="center"/>
      <protection/>
    </xf>
    <xf numFmtId="0" fontId="32" fillId="0" borderId="72" xfId="101" applyFont="1" applyFill="1" applyBorder="1" applyAlignment="1">
      <alignment horizontal="center" vertical="center" wrapText="1"/>
      <protection/>
    </xf>
    <xf numFmtId="0" fontId="32" fillId="0" borderId="72" xfId="101" applyFont="1" applyFill="1" applyBorder="1" applyAlignment="1">
      <alignment wrapText="1"/>
      <protection/>
    </xf>
    <xf numFmtId="0" fontId="45" fillId="0" borderId="72" xfId="101" applyFont="1" applyFill="1" applyBorder="1">
      <alignment/>
      <protection/>
    </xf>
    <xf numFmtId="3" fontId="32" fillId="0" borderId="72" xfId="101" applyNumberFormat="1" applyFont="1" applyFill="1" applyBorder="1">
      <alignment/>
      <protection/>
    </xf>
    <xf numFmtId="169" fontId="31" fillId="0" borderId="72" xfId="76" applyNumberFormat="1" applyFont="1" applyFill="1" applyBorder="1" applyAlignment="1">
      <alignment/>
    </xf>
    <xf numFmtId="37" fontId="32" fillId="0" borderId="72" xfId="76" applyNumberFormat="1" applyFont="1" applyFill="1" applyBorder="1" applyAlignment="1">
      <alignment/>
    </xf>
    <xf numFmtId="37" fontId="32" fillId="0" borderId="73" xfId="76" applyNumberFormat="1" applyFont="1" applyFill="1" applyBorder="1" applyAlignment="1">
      <alignment/>
    </xf>
    <xf numFmtId="0" fontId="32" fillId="0" borderId="179" xfId="101" applyFont="1" applyFill="1" applyBorder="1" applyAlignment="1">
      <alignment/>
      <protection/>
    </xf>
    <xf numFmtId="169" fontId="32" fillId="0" borderId="146" xfId="74" applyNumberFormat="1" applyFont="1" applyFill="1" applyBorder="1" applyAlignment="1">
      <alignment/>
    </xf>
    <xf numFmtId="0" fontId="32" fillId="0" borderId="62" xfId="101" applyFont="1" applyFill="1" applyBorder="1">
      <alignment/>
      <protection/>
    </xf>
    <xf numFmtId="0" fontId="32" fillId="0" borderId="0" xfId="101" applyFont="1" applyFill="1" applyBorder="1" applyAlignment="1">
      <alignment/>
      <protection/>
    </xf>
    <xf numFmtId="3" fontId="32" fillId="0" borderId="0" xfId="101" applyNumberFormat="1" applyFont="1" applyFill="1" applyBorder="1" applyAlignment="1">
      <alignment/>
      <protection/>
    </xf>
    <xf numFmtId="169" fontId="32" fillId="0" borderId="0" xfId="76" applyNumberFormat="1" applyFont="1" applyFill="1" applyBorder="1" applyAlignment="1">
      <alignment/>
    </xf>
    <xf numFmtId="169" fontId="32" fillId="0" borderId="43" xfId="76" applyNumberFormat="1" applyFont="1" applyFill="1" applyBorder="1" applyAlignment="1">
      <alignment/>
    </xf>
    <xf numFmtId="0" fontId="32" fillId="0" borderId="180" xfId="101" applyFont="1" applyFill="1" applyBorder="1">
      <alignment/>
      <protection/>
    </xf>
    <xf numFmtId="169" fontId="32" fillId="0" borderId="44" xfId="74" applyNumberFormat="1" applyFont="1" applyFill="1" applyBorder="1" applyAlignment="1">
      <alignment/>
    </xf>
    <xf numFmtId="169" fontId="32" fillId="0" borderId="73" xfId="76" applyNumberFormat="1" applyFont="1" applyFill="1" applyBorder="1" applyAlignment="1">
      <alignment/>
    </xf>
    <xf numFmtId="0" fontId="38" fillId="0" borderId="101" xfId="101" applyFont="1" applyFill="1" applyBorder="1" applyAlignment="1">
      <alignment wrapText="1"/>
      <protection/>
    </xf>
    <xf numFmtId="3" fontId="32" fillId="0" borderId="71" xfId="101" applyNumberFormat="1" applyFont="1" applyFill="1" applyBorder="1" applyAlignment="1">
      <alignment/>
      <protection/>
    </xf>
    <xf numFmtId="3" fontId="32" fillId="0" borderId="72" xfId="101" applyNumberFormat="1" applyFont="1" applyFill="1" applyBorder="1" applyAlignment="1">
      <alignment/>
      <protection/>
    </xf>
    <xf numFmtId="0" fontId="32" fillId="0" borderId="73" xfId="101" applyFont="1" applyFill="1" applyBorder="1" applyAlignment="1">
      <alignment/>
      <protection/>
    </xf>
    <xf numFmtId="0" fontId="31" fillId="0" borderId="116" xfId="101" applyFont="1" applyFill="1" applyBorder="1">
      <alignment/>
      <protection/>
    </xf>
    <xf numFmtId="0" fontId="32" fillId="0" borderId="181" xfId="101" applyFont="1" applyFill="1" applyBorder="1">
      <alignment/>
      <protection/>
    </xf>
    <xf numFmtId="49" fontId="32" fillId="0" borderId="145" xfId="101" applyNumberFormat="1" applyFont="1" applyFill="1" applyBorder="1">
      <alignment/>
      <protection/>
    </xf>
    <xf numFmtId="0" fontId="32" fillId="0" borderId="145" xfId="101" applyFont="1" applyFill="1" applyBorder="1">
      <alignment/>
      <protection/>
    </xf>
    <xf numFmtId="0" fontId="45" fillId="0" borderId="145" xfId="101" applyFont="1" applyFill="1" applyBorder="1">
      <alignment/>
      <protection/>
    </xf>
    <xf numFmtId="3" fontId="32" fillId="0" borderId="145" xfId="101" applyNumberFormat="1" applyFont="1" applyFill="1" applyBorder="1">
      <alignment/>
      <protection/>
    </xf>
    <xf numFmtId="169" fontId="31" fillId="0" borderId="145" xfId="76" applyNumberFormat="1" applyFont="1" applyFill="1" applyBorder="1" applyAlignment="1">
      <alignment/>
    </xf>
    <xf numFmtId="169" fontId="32" fillId="0" borderId="131" xfId="76" applyNumberFormat="1" applyFont="1" applyFill="1" applyBorder="1" applyAlignment="1">
      <alignment/>
    </xf>
    <xf numFmtId="169" fontId="32" fillId="0" borderId="70" xfId="76" applyNumberFormat="1" applyFont="1" applyFill="1" applyBorder="1" applyAlignment="1">
      <alignment/>
    </xf>
    <xf numFmtId="169" fontId="32" fillId="0" borderId="77" xfId="76" applyNumberFormat="1" applyFont="1" applyFill="1" applyBorder="1" applyAlignment="1">
      <alignment/>
    </xf>
    <xf numFmtId="169" fontId="32" fillId="0" borderId="41" xfId="76" applyNumberFormat="1" applyFont="1" applyFill="1" applyBorder="1" applyAlignment="1">
      <alignment/>
    </xf>
    <xf numFmtId="0" fontId="32" fillId="0" borderId="0" xfId="101" applyFont="1" applyFill="1">
      <alignment/>
      <protection/>
    </xf>
    <xf numFmtId="3" fontId="32" fillId="0" borderId="69" xfId="101" applyNumberFormat="1" applyFont="1" applyFill="1" applyBorder="1">
      <alignment/>
      <protection/>
    </xf>
    <xf numFmtId="0" fontId="32" fillId="0" borderId="70" xfId="101" applyFont="1" applyFill="1" applyBorder="1">
      <alignment/>
      <protection/>
    </xf>
    <xf numFmtId="0" fontId="32" fillId="0" borderId="41" xfId="101" applyFont="1" applyFill="1" applyBorder="1">
      <alignment/>
      <protection/>
    </xf>
    <xf numFmtId="0" fontId="32" fillId="0" borderId="21" xfId="101" applyFont="1" applyFill="1" applyBorder="1">
      <alignment/>
      <protection/>
    </xf>
    <xf numFmtId="169" fontId="32" fillId="0" borderId="78" xfId="76" applyNumberFormat="1" applyFont="1" applyFill="1" applyBorder="1" applyAlignment="1">
      <alignment/>
    </xf>
    <xf numFmtId="3" fontId="32" fillId="0" borderId="64" xfId="101" applyNumberFormat="1" applyFont="1" applyFill="1" applyBorder="1">
      <alignment/>
      <protection/>
    </xf>
    <xf numFmtId="0" fontId="32" fillId="0" borderId="22" xfId="101" applyFont="1" applyFill="1" applyBorder="1">
      <alignment/>
      <protection/>
    </xf>
    <xf numFmtId="0" fontId="7" fillId="0" borderId="65" xfId="109" applyFont="1" applyFill="1" applyBorder="1" applyAlignment="1">
      <alignment wrapText="1"/>
      <protection/>
    </xf>
    <xf numFmtId="0" fontId="32" fillId="0" borderId="22" xfId="101" applyFont="1" applyFill="1" applyBorder="1">
      <alignment/>
      <protection/>
    </xf>
    <xf numFmtId="0" fontId="32" fillId="0" borderId="65" xfId="101" applyFont="1" applyFill="1" applyBorder="1" applyAlignment="1">
      <alignment vertical="center"/>
      <protection/>
    </xf>
    <xf numFmtId="0" fontId="55" fillId="0" borderId="65" xfId="101" applyFont="1" applyFill="1" applyBorder="1" applyAlignment="1">
      <alignment horizontal="center" vertical="center" wrapText="1"/>
      <protection/>
    </xf>
    <xf numFmtId="0" fontId="32" fillId="0" borderId="65" xfId="101" applyFont="1" applyFill="1" applyBorder="1" applyAlignment="1">
      <alignment vertical="center" wrapText="1"/>
      <protection/>
    </xf>
    <xf numFmtId="49" fontId="32" fillId="0" borderId="75" xfId="101" applyNumberFormat="1" applyFont="1" applyFill="1" applyBorder="1">
      <alignment/>
      <protection/>
    </xf>
    <xf numFmtId="0" fontId="32" fillId="0" borderId="75" xfId="101" applyFont="1" applyFill="1" applyBorder="1">
      <alignment/>
      <protection/>
    </xf>
    <xf numFmtId="3" fontId="32" fillId="0" borderId="75" xfId="101" applyNumberFormat="1" applyFont="1" applyFill="1" applyBorder="1">
      <alignment/>
      <protection/>
    </xf>
    <xf numFmtId="169" fontId="31" fillId="0" borderId="75" xfId="76" applyNumberFormat="1" applyFont="1" applyFill="1" applyBorder="1" applyAlignment="1">
      <alignment/>
    </xf>
    <xf numFmtId="169" fontId="32" fillId="0" borderId="90" xfId="76" applyNumberFormat="1" applyFont="1" applyFill="1" applyBorder="1" applyAlignment="1">
      <alignment/>
    </xf>
    <xf numFmtId="0" fontId="55" fillId="0" borderId="75" xfId="101" applyFont="1" applyFill="1" applyBorder="1" applyAlignment="1">
      <alignment horizontal="center" vertical="center" wrapText="1"/>
      <protection/>
    </xf>
    <xf numFmtId="0" fontId="32" fillId="0" borderId="75" xfId="101" applyFont="1" applyFill="1" applyBorder="1" applyAlignment="1">
      <alignment vertical="center" wrapText="1"/>
      <protection/>
    </xf>
    <xf numFmtId="0" fontId="32" fillId="0" borderId="182" xfId="101" applyFont="1" applyFill="1" applyBorder="1">
      <alignment/>
      <protection/>
    </xf>
    <xf numFmtId="0" fontId="32" fillId="0" borderId="75" xfId="101" applyFont="1" applyFill="1" applyBorder="1" applyAlignment="1">
      <alignment wrapText="1"/>
      <protection/>
    </xf>
    <xf numFmtId="0" fontId="45" fillId="0" borderId="75" xfId="101" applyFont="1" applyFill="1" applyBorder="1">
      <alignment/>
      <protection/>
    </xf>
    <xf numFmtId="169" fontId="32" fillId="0" borderId="44" xfId="76" applyNumberFormat="1" applyFont="1" applyFill="1" applyBorder="1" applyAlignment="1">
      <alignment/>
    </xf>
    <xf numFmtId="3" fontId="32" fillId="0" borderId="182" xfId="101" applyNumberFormat="1" applyFont="1" applyFill="1" applyBorder="1">
      <alignment/>
      <protection/>
    </xf>
    <xf numFmtId="0" fontId="32" fillId="0" borderId="49" xfId="101" applyFont="1" applyFill="1" applyBorder="1">
      <alignment/>
      <protection/>
    </xf>
    <xf numFmtId="49" fontId="32" fillId="0" borderId="72" xfId="101" applyNumberFormat="1" applyFont="1" applyFill="1" applyBorder="1">
      <alignment/>
      <protection/>
    </xf>
    <xf numFmtId="0" fontId="55" fillId="0" borderId="72" xfId="101" applyFont="1" applyFill="1" applyBorder="1" applyAlignment="1">
      <alignment horizontal="center" vertical="center" wrapText="1"/>
      <protection/>
    </xf>
    <xf numFmtId="169" fontId="32" fillId="0" borderId="76" xfId="76" applyNumberFormat="1" applyFont="1" applyFill="1" applyBorder="1" applyAlignment="1">
      <alignment/>
    </xf>
    <xf numFmtId="3" fontId="32" fillId="0" borderId="71" xfId="101" applyNumberFormat="1" applyFont="1" applyFill="1" applyBorder="1">
      <alignment/>
      <protection/>
    </xf>
    <xf numFmtId="0" fontId="32" fillId="0" borderId="23" xfId="101" applyFont="1" applyFill="1" applyBorder="1">
      <alignment/>
      <protection/>
    </xf>
    <xf numFmtId="169" fontId="31" fillId="0" borderId="146" xfId="76" applyNumberFormat="1" applyFont="1" applyFill="1" applyBorder="1" applyAlignment="1">
      <alignment/>
    </xf>
    <xf numFmtId="3" fontId="31" fillId="0" borderId="102" xfId="101" applyNumberFormat="1" applyFont="1" applyFill="1" applyBorder="1" applyAlignment="1">
      <alignment/>
      <protection/>
    </xf>
    <xf numFmtId="169" fontId="31" fillId="0" borderId="61" xfId="76" applyNumberFormat="1" applyFont="1" applyFill="1" applyBorder="1" applyAlignment="1">
      <alignment/>
    </xf>
    <xf numFmtId="0" fontId="32" fillId="0" borderId="61" xfId="101" applyFont="1" applyFill="1" applyBorder="1" applyAlignment="1">
      <alignment horizontal="center"/>
      <protection/>
    </xf>
    <xf numFmtId="0" fontId="31" fillId="0" borderId="19" xfId="101" applyFont="1" applyFill="1" applyBorder="1">
      <alignment/>
      <protection/>
    </xf>
    <xf numFmtId="0" fontId="31" fillId="0" borderId="69" xfId="101" applyFont="1" applyFill="1" applyBorder="1" applyAlignment="1">
      <alignment horizontal="left"/>
      <protection/>
    </xf>
    <xf numFmtId="49" fontId="32" fillId="0" borderId="70" xfId="101" applyNumberFormat="1" applyFont="1" applyFill="1" applyBorder="1" applyAlignment="1">
      <alignment horizontal="center" vertical="center"/>
      <protection/>
    </xf>
    <xf numFmtId="0" fontId="32" fillId="0" borderId="70" xfId="101" applyFont="1" applyFill="1" applyBorder="1" applyAlignment="1">
      <alignment wrapText="1"/>
      <protection/>
    </xf>
    <xf numFmtId="0" fontId="45" fillId="0" borderId="70" xfId="101" applyFont="1" applyFill="1" applyBorder="1" applyAlignment="1">
      <alignment horizontal="right"/>
      <protection/>
    </xf>
    <xf numFmtId="0" fontId="31" fillId="0" borderId="70" xfId="101" applyFont="1" applyFill="1" applyBorder="1" applyAlignment="1">
      <alignment horizontal="left"/>
      <protection/>
    </xf>
    <xf numFmtId="0" fontId="31" fillId="0" borderId="70" xfId="101" applyFont="1" applyFill="1" applyBorder="1" applyAlignment="1">
      <alignment horizontal="center"/>
      <protection/>
    </xf>
    <xf numFmtId="0" fontId="32" fillId="0" borderId="41" xfId="101" applyFont="1" applyFill="1" applyBorder="1" applyAlignment="1">
      <alignment horizontal="center"/>
      <protection/>
    </xf>
    <xf numFmtId="3" fontId="32" fillId="0" borderId="102" xfId="101" applyNumberFormat="1" applyFont="1" applyFill="1" applyBorder="1">
      <alignment/>
      <protection/>
    </xf>
    <xf numFmtId="0" fontId="31" fillId="0" borderId="67" xfId="101" applyFont="1" applyFill="1" applyBorder="1">
      <alignment/>
      <protection/>
    </xf>
    <xf numFmtId="0" fontId="31" fillId="0" borderId="68" xfId="101" applyFont="1" applyFill="1" applyBorder="1">
      <alignment/>
      <protection/>
    </xf>
    <xf numFmtId="0" fontId="31" fillId="0" borderId="71" xfId="101" applyFont="1" applyFill="1" applyBorder="1" applyAlignment="1">
      <alignment horizontal="left"/>
      <protection/>
    </xf>
    <xf numFmtId="0" fontId="45" fillId="0" borderId="72" xfId="101" applyFont="1" applyFill="1" applyBorder="1" applyAlignment="1">
      <alignment horizontal="right"/>
      <protection/>
    </xf>
    <xf numFmtId="0" fontId="31" fillId="0" borderId="72" xfId="101" applyFont="1" applyFill="1" applyBorder="1" applyAlignment="1">
      <alignment horizontal="left"/>
      <protection/>
    </xf>
    <xf numFmtId="0" fontId="31" fillId="0" borderId="72" xfId="101" applyFont="1" applyFill="1" applyBorder="1" applyAlignment="1">
      <alignment horizontal="center"/>
      <protection/>
    </xf>
    <xf numFmtId="0" fontId="32" fillId="0" borderId="73" xfId="101" applyFont="1" applyFill="1" applyBorder="1" applyAlignment="1">
      <alignment horizontal="center"/>
      <protection/>
    </xf>
    <xf numFmtId="3" fontId="32" fillId="0" borderId="183" xfId="101" applyNumberFormat="1" applyFont="1" applyFill="1" applyBorder="1">
      <alignment/>
      <protection/>
    </xf>
    <xf numFmtId="0" fontId="31" fillId="0" borderId="101" xfId="101" applyFont="1" applyFill="1" applyBorder="1">
      <alignment/>
      <protection/>
    </xf>
    <xf numFmtId="0" fontId="31" fillId="0" borderId="103" xfId="101" applyFont="1" applyFill="1" applyBorder="1">
      <alignment/>
      <protection/>
    </xf>
    <xf numFmtId="0" fontId="31" fillId="0" borderId="62" xfId="101" applyFont="1" applyFill="1" applyBorder="1">
      <alignment/>
      <protection/>
    </xf>
    <xf numFmtId="0" fontId="32" fillId="0" borderId="19" xfId="101" applyFont="1" applyFill="1" applyBorder="1" applyAlignment="1">
      <alignment horizontal="center"/>
      <protection/>
    </xf>
    <xf numFmtId="0" fontId="38" fillId="0" borderId="19" xfId="101" applyFont="1" applyFill="1" applyBorder="1">
      <alignment/>
      <protection/>
    </xf>
    <xf numFmtId="169" fontId="31" fillId="0" borderId="19" xfId="76" applyNumberFormat="1" applyFont="1" applyFill="1" applyBorder="1" applyAlignment="1">
      <alignment/>
    </xf>
    <xf numFmtId="169" fontId="31" fillId="0" borderId="183" xfId="76" applyNumberFormat="1" applyFont="1" applyFill="1" applyBorder="1" applyAlignment="1">
      <alignment/>
    </xf>
    <xf numFmtId="3" fontId="31" fillId="0" borderId="61" xfId="101" applyNumberFormat="1" applyFont="1" applyFill="1" applyBorder="1" applyAlignment="1">
      <alignment/>
      <protection/>
    </xf>
    <xf numFmtId="0" fontId="55" fillId="0" borderId="70" xfId="101" applyFont="1" applyFill="1" applyBorder="1" applyAlignment="1">
      <alignment horizontal="center" vertical="center" wrapText="1"/>
      <protection/>
    </xf>
    <xf numFmtId="0" fontId="31" fillId="0" borderId="184" xfId="101" applyFont="1" applyFill="1" applyBorder="1" applyAlignment="1">
      <alignment horizontal="center"/>
      <protection/>
    </xf>
    <xf numFmtId="0" fontId="31" fillId="0" borderId="64" xfId="101" applyFont="1" applyFill="1" applyBorder="1" applyAlignment="1">
      <alignment horizontal="left"/>
      <protection/>
    </xf>
    <xf numFmtId="0" fontId="45" fillId="0" borderId="65" xfId="101" applyFont="1" applyFill="1" applyBorder="1" applyAlignment="1">
      <alignment horizontal="right"/>
      <protection/>
    </xf>
    <xf numFmtId="0" fontId="31" fillId="0" borderId="65" xfId="101" applyFont="1" applyFill="1" applyBorder="1" applyAlignment="1">
      <alignment horizontal="left"/>
      <protection/>
    </xf>
    <xf numFmtId="0" fontId="31" fillId="0" borderId="65" xfId="101" applyFont="1" applyFill="1" applyBorder="1" applyAlignment="1">
      <alignment horizontal="center"/>
      <protection/>
    </xf>
    <xf numFmtId="0" fontId="32" fillId="0" borderId="43" xfId="101" applyFont="1" applyFill="1" applyBorder="1" applyAlignment="1">
      <alignment horizontal="center"/>
      <protection/>
    </xf>
    <xf numFmtId="0" fontId="38" fillId="0" borderId="72" xfId="101" applyFont="1" applyFill="1" applyBorder="1">
      <alignment/>
      <protection/>
    </xf>
    <xf numFmtId="0" fontId="32" fillId="0" borderId="128" xfId="101" applyFont="1" applyFill="1" applyBorder="1">
      <alignment/>
      <protection/>
    </xf>
    <xf numFmtId="0" fontId="39" fillId="0" borderId="185" xfId="101" applyFont="1" applyFill="1" applyBorder="1" applyAlignment="1">
      <alignment horizontal="center"/>
      <protection/>
    </xf>
    <xf numFmtId="0" fontId="31" fillId="0" borderId="164" xfId="101" applyFont="1" applyFill="1" applyBorder="1">
      <alignment/>
      <protection/>
    </xf>
    <xf numFmtId="3" fontId="31" fillId="0" borderId="67" xfId="101" applyNumberFormat="1" applyFont="1" applyFill="1" applyBorder="1">
      <alignment/>
      <protection/>
    </xf>
    <xf numFmtId="0" fontId="31" fillId="0" borderId="186" xfId="101" applyFont="1" applyFill="1" applyBorder="1">
      <alignment/>
      <protection/>
    </xf>
    <xf numFmtId="0" fontId="31" fillId="0" borderId="151" xfId="101" applyFont="1" applyFill="1" applyBorder="1">
      <alignment/>
      <protection/>
    </xf>
    <xf numFmtId="0" fontId="31" fillId="0" borderId="184" xfId="101" applyFont="1" applyFill="1" applyBorder="1">
      <alignment/>
      <protection/>
    </xf>
    <xf numFmtId="0" fontId="31" fillId="0" borderId="187" xfId="101" applyFont="1" applyFill="1" applyBorder="1">
      <alignment/>
      <protection/>
    </xf>
    <xf numFmtId="169" fontId="31" fillId="0" borderId="0" xfId="101" applyNumberFormat="1" applyFont="1" applyFill="1">
      <alignment/>
      <protection/>
    </xf>
    <xf numFmtId="0" fontId="32" fillId="0" borderId="69" xfId="101" applyFont="1" applyFill="1" applyBorder="1">
      <alignment/>
      <protection/>
    </xf>
    <xf numFmtId="49" fontId="32" fillId="0" borderId="70" xfId="101" applyNumberFormat="1" applyFont="1" applyFill="1" applyBorder="1">
      <alignment/>
      <protection/>
    </xf>
    <xf numFmtId="0" fontId="32" fillId="0" borderId="70" xfId="101" applyFont="1" applyFill="1" applyBorder="1">
      <alignment/>
      <protection/>
    </xf>
    <xf numFmtId="0" fontId="45" fillId="0" borderId="70" xfId="101" applyFont="1" applyFill="1" applyBorder="1">
      <alignment/>
      <protection/>
    </xf>
    <xf numFmtId="3" fontId="32" fillId="0" borderId="70" xfId="101" applyNumberFormat="1" applyFont="1" applyFill="1" applyBorder="1">
      <alignment/>
      <protection/>
    </xf>
    <xf numFmtId="169" fontId="31" fillId="0" borderId="70" xfId="76" applyNumberFormat="1" applyFont="1" applyFill="1" applyBorder="1" applyAlignment="1">
      <alignment/>
    </xf>
    <xf numFmtId="169" fontId="32" fillId="0" borderId="77" xfId="76" applyNumberFormat="1" applyFont="1" applyFill="1" applyBorder="1" applyAlignment="1">
      <alignment/>
    </xf>
    <xf numFmtId="169" fontId="32" fillId="0" borderId="41" xfId="76" applyNumberFormat="1" applyFont="1" applyFill="1" applyBorder="1" applyAlignment="1">
      <alignment/>
    </xf>
    <xf numFmtId="3" fontId="32" fillId="0" borderId="69" xfId="101" applyNumberFormat="1" applyFont="1" applyFill="1" applyBorder="1">
      <alignment/>
      <protection/>
    </xf>
    <xf numFmtId="3" fontId="32" fillId="0" borderId="178" xfId="101" applyNumberFormat="1" applyFont="1" applyFill="1" applyBorder="1">
      <alignment/>
      <protection/>
    </xf>
    <xf numFmtId="3" fontId="32" fillId="0" borderId="41" xfId="101" applyNumberFormat="1" applyFont="1" applyFill="1" applyBorder="1">
      <alignment/>
      <protection/>
    </xf>
    <xf numFmtId="0" fontId="32" fillId="0" borderId="21" xfId="101" applyFont="1" applyFill="1" applyBorder="1">
      <alignment/>
      <protection/>
    </xf>
    <xf numFmtId="3" fontId="32" fillId="0" borderId="66" xfId="101" applyNumberFormat="1" applyFont="1" applyFill="1" applyBorder="1">
      <alignment/>
      <protection/>
    </xf>
    <xf numFmtId="3" fontId="32" fillId="0" borderId="43" xfId="101" applyNumberFormat="1" applyFont="1" applyFill="1" applyBorder="1">
      <alignment/>
      <protection/>
    </xf>
    <xf numFmtId="0" fontId="55" fillId="0" borderId="75" xfId="101" applyFont="1" applyFill="1" applyBorder="1" applyAlignment="1" quotePrefix="1">
      <alignment horizontal="center" wrapText="1"/>
      <protection/>
    </xf>
    <xf numFmtId="169" fontId="59" fillId="0" borderId="75" xfId="76" applyNumberFormat="1" applyFont="1" applyFill="1" applyBorder="1" applyAlignment="1">
      <alignment/>
    </xf>
    <xf numFmtId="169" fontId="35" fillId="0" borderId="75" xfId="76" applyNumberFormat="1" applyFont="1" applyFill="1" applyBorder="1" applyAlignment="1">
      <alignment/>
    </xf>
    <xf numFmtId="3" fontId="32" fillId="0" borderId="134" xfId="101" applyNumberFormat="1" applyFont="1" applyFill="1" applyBorder="1">
      <alignment/>
      <protection/>
    </xf>
    <xf numFmtId="3" fontId="32" fillId="0" borderId="126" xfId="101" applyNumberFormat="1" applyFont="1" applyFill="1" applyBorder="1">
      <alignment/>
      <protection/>
    </xf>
    <xf numFmtId="3" fontId="32" fillId="0" borderId="135" xfId="101" applyNumberFormat="1" applyFont="1" applyFill="1" applyBorder="1">
      <alignment/>
      <protection/>
    </xf>
    <xf numFmtId="3" fontId="32" fillId="0" borderId="127" xfId="101" applyNumberFormat="1" applyFont="1" applyFill="1" applyBorder="1">
      <alignment/>
      <protection/>
    </xf>
    <xf numFmtId="169" fontId="59" fillId="0" borderId="72" xfId="76" applyNumberFormat="1" applyFont="1" applyFill="1" applyBorder="1" applyAlignment="1">
      <alignment/>
    </xf>
    <xf numFmtId="3" fontId="31" fillId="0" borderId="102" xfId="101" applyNumberFormat="1" applyFont="1" applyFill="1" applyBorder="1">
      <alignment/>
      <protection/>
    </xf>
    <xf numFmtId="3" fontId="32" fillId="0" borderId="185" xfId="101" applyNumberFormat="1" applyFont="1" applyFill="1" applyBorder="1">
      <alignment/>
      <protection/>
    </xf>
    <xf numFmtId="3" fontId="32" fillId="0" borderId="67" xfId="101" applyNumberFormat="1" applyFont="1" applyFill="1" applyBorder="1">
      <alignment/>
      <protection/>
    </xf>
    <xf numFmtId="3" fontId="32" fillId="0" borderId="68" xfId="101" applyNumberFormat="1" applyFont="1" applyFill="1" applyBorder="1">
      <alignment/>
      <protection/>
    </xf>
    <xf numFmtId="0" fontId="32" fillId="0" borderId="178" xfId="101" applyFont="1" applyFill="1" applyBorder="1">
      <alignment/>
      <protection/>
    </xf>
    <xf numFmtId="0" fontId="32" fillId="0" borderId="41" xfId="101" applyFont="1" applyFill="1" applyBorder="1">
      <alignment/>
      <protection/>
    </xf>
    <xf numFmtId="0" fontId="32" fillId="0" borderId="69" xfId="101" applyFont="1" applyFill="1" applyBorder="1" applyAlignment="1">
      <alignment horizontal="left"/>
      <protection/>
    </xf>
    <xf numFmtId="0" fontId="32" fillId="0" borderId="70" xfId="101" applyFont="1" applyFill="1" applyBorder="1" applyAlignment="1">
      <alignment horizontal="left"/>
      <protection/>
    </xf>
    <xf numFmtId="0" fontId="32" fillId="0" borderId="70" xfId="101" applyFont="1" applyFill="1" applyBorder="1" applyAlignment="1">
      <alignment horizontal="left" wrapText="1"/>
      <protection/>
    </xf>
    <xf numFmtId="169" fontId="31" fillId="0" borderId="70" xfId="101" applyNumberFormat="1" applyFont="1" applyFill="1" applyBorder="1" applyAlignment="1">
      <alignment horizontal="left"/>
      <protection/>
    </xf>
    <xf numFmtId="169" fontId="32" fillId="0" borderId="41" xfId="74" applyNumberFormat="1" applyFont="1" applyFill="1" applyBorder="1" applyAlignment="1">
      <alignment horizontal="left"/>
    </xf>
    <xf numFmtId="0" fontId="32" fillId="0" borderId="74" xfId="101" applyFont="1" applyFill="1" applyBorder="1">
      <alignment/>
      <protection/>
    </xf>
    <xf numFmtId="0" fontId="32" fillId="0" borderId="64" xfId="101" applyFont="1" applyFill="1" applyBorder="1" applyAlignment="1">
      <alignment horizontal="left"/>
      <protection/>
    </xf>
    <xf numFmtId="0" fontId="32" fillId="0" borderId="65" xfId="101" applyFont="1" applyFill="1" applyBorder="1" applyAlignment="1">
      <alignment horizontal="left"/>
      <protection/>
    </xf>
    <xf numFmtId="0" fontId="32" fillId="0" borderId="65" xfId="101" applyFont="1" applyFill="1" applyBorder="1" applyAlignment="1">
      <alignment horizontal="left" wrapText="1"/>
      <protection/>
    </xf>
    <xf numFmtId="169" fontId="31" fillId="0" borderId="65" xfId="101" applyNumberFormat="1" applyFont="1" applyFill="1" applyBorder="1" applyAlignment="1">
      <alignment horizontal="left"/>
      <protection/>
    </xf>
    <xf numFmtId="169" fontId="32" fillId="0" borderId="43" xfId="74" applyNumberFormat="1" applyFont="1" applyFill="1" applyBorder="1" applyAlignment="1">
      <alignment horizontal="left"/>
    </xf>
    <xf numFmtId="0" fontId="32" fillId="0" borderId="71" xfId="101" applyFont="1" applyFill="1" applyBorder="1" applyAlignment="1">
      <alignment horizontal="left"/>
      <protection/>
    </xf>
    <xf numFmtId="0" fontId="32" fillId="0" borderId="72" xfId="101" applyFont="1" applyFill="1" applyBorder="1" applyAlignment="1">
      <alignment horizontal="left"/>
      <protection/>
    </xf>
    <xf numFmtId="0" fontId="32" fillId="0" borderId="72" xfId="101" applyFont="1" applyFill="1" applyBorder="1" applyAlignment="1">
      <alignment horizontal="left" wrapText="1"/>
      <protection/>
    </xf>
    <xf numFmtId="169" fontId="31" fillId="0" borderId="72" xfId="101" applyNumberFormat="1" applyFont="1" applyFill="1" applyBorder="1" applyAlignment="1">
      <alignment horizontal="left"/>
      <protection/>
    </xf>
    <xf numFmtId="169" fontId="32" fillId="0" borderId="73" xfId="74" applyNumberFormat="1" applyFont="1" applyFill="1" applyBorder="1" applyAlignment="1">
      <alignment horizontal="left"/>
    </xf>
    <xf numFmtId="0" fontId="32" fillId="0" borderId="73" xfId="101" applyFont="1" applyFill="1" applyBorder="1">
      <alignment/>
      <protection/>
    </xf>
    <xf numFmtId="0" fontId="32" fillId="0" borderId="101" xfId="101" applyFont="1" applyFill="1" applyBorder="1" applyAlignment="1">
      <alignment/>
      <protection/>
    </xf>
    <xf numFmtId="0" fontId="32" fillId="0" borderId="185" xfId="101" applyFont="1" applyFill="1" applyBorder="1">
      <alignment/>
      <protection/>
    </xf>
    <xf numFmtId="0" fontId="32" fillId="0" borderId="68" xfId="101" applyFont="1" applyFill="1" applyBorder="1">
      <alignment/>
      <protection/>
    </xf>
    <xf numFmtId="169" fontId="31" fillId="0" borderId="184" xfId="101" applyNumberFormat="1" applyFont="1" applyFill="1" applyBorder="1" applyAlignment="1">
      <alignment/>
      <protection/>
    </xf>
    <xf numFmtId="169" fontId="32" fillId="0" borderId="77" xfId="101" applyNumberFormat="1" applyFont="1" applyFill="1" applyBorder="1" applyAlignment="1">
      <alignment/>
      <protection/>
    </xf>
    <xf numFmtId="169" fontId="32" fillId="0" borderId="41" xfId="101" applyNumberFormat="1" applyFont="1" applyFill="1" applyBorder="1">
      <alignment/>
      <protection/>
    </xf>
    <xf numFmtId="169" fontId="32" fillId="0" borderId="0" xfId="101" applyNumberFormat="1" applyFont="1" applyFill="1" applyBorder="1">
      <alignment/>
      <protection/>
    </xf>
    <xf numFmtId="169" fontId="31" fillId="0" borderId="65" xfId="101" applyNumberFormat="1" applyFont="1" applyFill="1" applyBorder="1" applyAlignment="1">
      <alignment/>
      <protection/>
    </xf>
    <xf numFmtId="169" fontId="32" fillId="0" borderId="78" xfId="101" applyNumberFormat="1" applyFont="1" applyFill="1" applyBorder="1" applyAlignment="1">
      <alignment/>
      <protection/>
    </xf>
    <xf numFmtId="169" fontId="32" fillId="0" borderId="43" xfId="101" applyNumberFormat="1" applyFont="1" applyFill="1" applyBorder="1" applyAlignment="1">
      <alignment/>
      <protection/>
    </xf>
    <xf numFmtId="169" fontId="32" fillId="0" borderId="0" xfId="101" applyNumberFormat="1" applyFont="1" applyFill="1" applyBorder="1" applyAlignment="1">
      <alignment/>
      <protection/>
    </xf>
    <xf numFmtId="169" fontId="31" fillId="0" borderId="145" xfId="101" applyNumberFormat="1" applyFont="1" applyFill="1" applyBorder="1" applyAlignment="1">
      <alignment/>
      <protection/>
    </xf>
    <xf numFmtId="0" fontId="32" fillId="0" borderId="78" xfId="101" applyFont="1" applyFill="1" applyBorder="1" applyAlignment="1">
      <alignment/>
      <protection/>
    </xf>
    <xf numFmtId="169" fontId="40" fillId="0" borderId="43" xfId="76" applyNumberFormat="1" applyFont="1" applyFill="1" applyBorder="1" applyAlignment="1">
      <alignment/>
    </xf>
    <xf numFmtId="169" fontId="40" fillId="0" borderId="0" xfId="76" applyNumberFormat="1" applyFont="1" applyFill="1" applyBorder="1" applyAlignment="1">
      <alignment/>
    </xf>
    <xf numFmtId="169" fontId="31" fillId="0" borderId="76" xfId="101" applyNumberFormat="1" applyFont="1" applyFill="1" applyBorder="1">
      <alignment/>
      <protection/>
    </xf>
    <xf numFmtId="169" fontId="31" fillId="0" borderId="73" xfId="101" applyNumberFormat="1" applyFont="1" applyFill="1" applyBorder="1">
      <alignment/>
      <protection/>
    </xf>
    <xf numFmtId="169" fontId="31" fillId="0" borderId="0" xfId="101" applyNumberFormat="1" applyFont="1" applyFill="1" applyBorder="1">
      <alignment/>
      <protection/>
    </xf>
    <xf numFmtId="0" fontId="6" fillId="47" borderId="0" xfId="101" applyFont="1" applyFill="1" applyBorder="1">
      <alignment/>
      <protection/>
    </xf>
    <xf numFmtId="3" fontId="11" fillId="0" borderId="145" xfId="96" applyNumberFormat="1" applyFont="1" applyFill="1" applyBorder="1">
      <alignment/>
      <protection/>
    </xf>
    <xf numFmtId="3" fontId="7" fillId="0" borderId="67" xfId="96" applyNumberFormat="1" applyFont="1" applyFill="1" applyBorder="1">
      <alignment/>
      <protection/>
    </xf>
    <xf numFmtId="3" fontId="11" fillId="0" borderId="67" xfId="96" applyNumberFormat="1" applyFont="1" applyFill="1" applyBorder="1">
      <alignment/>
      <protection/>
    </xf>
    <xf numFmtId="0" fontId="37" fillId="47" borderId="188" xfId="107" applyFont="1" applyFill="1" applyBorder="1" applyAlignment="1">
      <alignment horizontal="center" vertical="center"/>
      <protection/>
    </xf>
    <xf numFmtId="0" fontId="10" fillId="47" borderId="189" xfId="101" applyFont="1" applyFill="1" applyBorder="1">
      <alignment/>
      <protection/>
    </xf>
    <xf numFmtId="0" fontId="37" fillId="47" borderId="60" xfId="107" applyFont="1" applyFill="1" applyBorder="1" applyAlignment="1">
      <alignment horizontal="center" vertical="center"/>
      <protection/>
    </xf>
    <xf numFmtId="0" fontId="37" fillId="47" borderId="190" xfId="107" applyFont="1" applyFill="1" applyBorder="1" applyAlignment="1">
      <alignment horizontal="center" vertical="center"/>
      <protection/>
    </xf>
    <xf numFmtId="0" fontId="37" fillId="47" borderId="171" xfId="107" applyFont="1" applyFill="1" applyBorder="1" applyAlignment="1">
      <alignment horizontal="center" vertical="center"/>
      <protection/>
    </xf>
    <xf numFmtId="0" fontId="10" fillId="47" borderId="191" xfId="101" applyFont="1" applyFill="1" applyBorder="1">
      <alignment/>
      <protection/>
    </xf>
    <xf numFmtId="0" fontId="37" fillId="47" borderId="174" xfId="107" applyFont="1" applyFill="1" applyBorder="1" applyAlignment="1">
      <alignment horizontal="center" vertical="center"/>
      <protection/>
    </xf>
    <xf numFmtId="0" fontId="7" fillId="47" borderId="192" xfId="101" applyFont="1" applyFill="1" applyBorder="1">
      <alignment/>
      <protection/>
    </xf>
    <xf numFmtId="0" fontId="55" fillId="0" borderId="65" xfId="101" applyFont="1" applyFill="1" applyBorder="1">
      <alignment/>
      <protection/>
    </xf>
    <xf numFmtId="169" fontId="31" fillId="47" borderId="0" xfId="101" applyNumberFormat="1" applyFont="1" applyFill="1">
      <alignment/>
      <protection/>
    </xf>
    <xf numFmtId="0" fontId="31" fillId="0" borderId="193" xfId="101" applyFont="1" applyFill="1" applyBorder="1" applyAlignment="1">
      <alignment horizontal="left"/>
      <protection/>
    </xf>
    <xf numFmtId="0" fontId="31" fillId="0" borderId="97" xfId="101" applyFont="1" applyFill="1" applyBorder="1" applyAlignment="1">
      <alignment horizontal="left"/>
      <protection/>
    </xf>
    <xf numFmtId="3" fontId="32" fillId="0" borderId="182" xfId="101" applyNumberFormat="1" applyFont="1" applyFill="1" applyBorder="1" applyAlignment="1">
      <alignment horizontal="center" vertical="center"/>
      <protection/>
    </xf>
    <xf numFmtId="3" fontId="32" fillId="0" borderId="134" xfId="101" applyNumberFormat="1" applyFont="1" applyFill="1" applyBorder="1" applyAlignment="1">
      <alignment horizontal="center" vertical="center"/>
      <protection/>
    </xf>
    <xf numFmtId="3" fontId="32" fillId="0" borderId="181" xfId="101" applyNumberFormat="1" applyFont="1" applyFill="1" applyBorder="1" applyAlignment="1">
      <alignment horizontal="center" vertical="center"/>
      <protection/>
    </xf>
    <xf numFmtId="0" fontId="32" fillId="0" borderId="184" xfId="101" applyFont="1" applyFill="1" applyBorder="1" applyAlignment="1">
      <alignment horizontal="center" vertical="center" wrapText="1"/>
      <protection/>
    </xf>
    <xf numFmtId="0" fontId="32" fillId="0" borderId="135" xfId="101" applyFont="1" applyFill="1" applyBorder="1" applyAlignment="1">
      <alignment horizontal="center" vertical="center" wrapText="1"/>
      <protection/>
    </xf>
    <xf numFmtId="0" fontId="32" fillId="0" borderId="145" xfId="101" applyFont="1" applyFill="1" applyBorder="1" applyAlignment="1">
      <alignment horizontal="center" vertical="center" wrapText="1"/>
      <protection/>
    </xf>
    <xf numFmtId="169" fontId="32" fillId="0" borderId="65" xfId="76" applyNumberFormat="1" applyFont="1" applyFill="1" applyBorder="1" applyAlignment="1">
      <alignment horizontal="center" vertical="center"/>
    </xf>
    <xf numFmtId="169" fontId="32" fillId="0" borderId="43" xfId="76" applyNumberFormat="1" applyFont="1" applyFill="1" applyBorder="1" applyAlignment="1">
      <alignment horizontal="center" vertical="center"/>
    </xf>
    <xf numFmtId="0" fontId="32" fillId="0" borderId="179" xfId="101" applyFont="1" applyFill="1" applyBorder="1" applyAlignment="1">
      <alignment horizontal="center"/>
      <protection/>
    </xf>
    <xf numFmtId="0" fontId="32" fillId="0" borderId="101" xfId="101" applyFont="1" applyFill="1" applyBorder="1" applyAlignment="1">
      <alignment horizontal="center"/>
      <protection/>
    </xf>
    <xf numFmtId="0" fontId="31" fillId="0" borderId="104" xfId="101" applyFont="1" applyFill="1" applyBorder="1" applyAlignment="1">
      <alignment horizontal="left"/>
      <protection/>
    </xf>
    <xf numFmtId="0" fontId="31" fillId="0" borderId="63" xfId="101" applyFont="1" applyFill="1" applyBorder="1" applyAlignment="1">
      <alignment horizontal="left"/>
      <protection/>
    </xf>
    <xf numFmtId="0" fontId="31" fillId="0" borderId="98" xfId="101" applyFont="1" applyFill="1" applyBorder="1" applyAlignment="1">
      <alignment horizontal="left"/>
      <protection/>
    </xf>
    <xf numFmtId="0" fontId="32" fillId="0" borderId="65" xfId="101" applyFont="1" applyFill="1" applyBorder="1" applyAlignment="1">
      <alignment horizontal="center" vertical="center" wrapText="1"/>
      <protection/>
    </xf>
    <xf numFmtId="49" fontId="32" fillId="0" borderId="65" xfId="101" applyNumberFormat="1" applyFont="1" applyFill="1" applyBorder="1" applyAlignment="1">
      <alignment horizontal="center" vertical="center"/>
      <protection/>
    </xf>
    <xf numFmtId="0" fontId="11" fillId="0" borderId="19" xfId="107" applyFont="1" applyFill="1" applyBorder="1" applyAlignment="1">
      <alignment horizontal="center" vertical="center" wrapText="1"/>
      <protection/>
    </xf>
    <xf numFmtId="0" fontId="31" fillId="0" borderId="178" xfId="101" applyFont="1" applyFill="1" applyBorder="1" applyAlignment="1">
      <alignment horizontal="left"/>
      <protection/>
    </xf>
    <xf numFmtId="0" fontId="34" fillId="0" borderId="19" xfId="107" applyFont="1" applyFill="1" applyBorder="1" applyAlignment="1">
      <alignment horizontal="center" vertical="center" textRotation="90" wrapText="1"/>
      <protection/>
    </xf>
    <xf numFmtId="0" fontId="7" fillId="0" borderId="97" xfId="107" applyFont="1" applyFill="1" applyBorder="1" applyAlignment="1">
      <alignment horizontal="center" vertical="center" wrapText="1"/>
      <protection/>
    </xf>
    <xf numFmtId="0" fontId="7" fillId="0" borderId="193" xfId="107" applyFont="1" applyFill="1" applyBorder="1" applyAlignment="1">
      <alignment horizontal="center" vertical="center" wrapText="1"/>
      <protection/>
    </xf>
    <xf numFmtId="0" fontId="7" fillId="0" borderId="98" xfId="107" applyFont="1" applyFill="1" applyBorder="1" applyAlignment="1">
      <alignment horizontal="center" vertical="center" wrapText="1"/>
      <protection/>
    </xf>
    <xf numFmtId="37" fontId="32" fillId="0" borderId="43" xfId="76" applyNumberFormat="1" applyFont="1" applyFill="1" applyBorder="1" applyAlignment="1">
      <alignment horizontal="center" vertical="center"/>
    </xf>
    <xf numFmtId="0" fontId="34" fillId="0" borderId="116" xfId="107" applyFont="1" applyFill="1" applyBorder="1" applyAlignment="1">
      <alignment horizontal="center" vertical="center" wrapText="1"/>
      <protection/>
    </xf>
    <xf numFmtId="0" fontId="34" fillId="0" borderId="128" xfId="107" applyFont="1" applyFill="1" applyBorder="1" applyAlignment="1">
      <alignment horizontal="center" vertical="center" wrapText="1"/>
      <protection/>
    </xf>
    <xf numFmtId="0" fontId="34" fillId="0" borderId="62" xfId="107" applyFont="1" applyFill="1" applyBorder="1" applyAlignment="1">
      <alignment horizontal="center" vertical="center" wrapText="1"/>
      <protection/>
    </xf>
    <xf numFmtId="0" fontId="7" fillId="0" borderId="116" xfId="107" applyFont="1" applyFill="1" applyBorder="1" applyAlignment="1">
      <alignment horizontal="center" vertical="center"/>
      <protection/>
    </xf>
    <xf numFmtId="0" fontId="7" fillId="0" borderId="128" xfId="107" applyFont="1" applyFill="1" applyBorder="1" applyAlignment="1">
      <alignment horizontal="center" vertical="center"/>
      <protection/>
    </xf>
    <xf numFmtId="0" fontId="7" fillId="0" borderId="62" xfId="107" applyFont="1" applyFill="1" applyBorder="1" applyAlignment="1">
      <alignment horizontal="center" vertical="center"/>
      <protection/>
    </xf>
    <xf numFmtId="0" fontId="34" fillId="0" borderId="97" xfId="107" applyFont="1" applyFill="1" applyBorder="1" applyAlignment="1">
      <alignment horizontal="center" vertical="center" wrapText="1"/>
      <protection/>
    </xf>
    <xf numFmtId="0" fontId="34" fillId="0" borderId="193" xfId="107" applyFont="1" applyFill="1" applyBorder="1" applyAlignment="1">
      <alignment horizontal="center" vertical="center" wrapText="1"/>
      <protection/>
    </xf>
    <xf numFmtId="0" fontId="34" fillId="0" borderId="98" xfId="107" applyFont="1" applyFill="1" applyBorder="1" applyAlignment="1">
      <alignment horizontal="center" vertical="center" wrapText="1"/>
      <protection/>
    </xf>
    <xf numFmtId="0" fontId="7" fillId="0" borderId="116" xfId="107" applyFont="1" applyFill="1" applyBorder="1" applyAlignment="1">
      <alignment horizontal="center" vertical="center" wrapText="1"/>
      <protection/>
    </xf>
    <xf numFmtId="0" fontId="7" fillId="0" borderId="128" xfId="107" applyFont="1" applyFill="1" applyBorder="1" applyAlignment="1">
      <alignment horizontal="center" vertical="center" wrapText="1"/>
      <protection/>
    </xf>
    <xf numFmtId="0" fontId="7" fillId="0" borderId="62" xfId="107" applyFont="1" applyFill="1" applyBorder="1" applyAlignment="1">
      <alignment horizontal="center" vertical="center" wrapText="1"/>
      <protection/>
    </xf>
    <xf numFmtId="0" fontId="31" fillId="0" borderId="148" xfId="101" applyFont="1" applyFill="1" applyBorder="1" applyAlignment="1">
      <alignment horizontal="left"/>
      <protection/>
    </xf>
    <xf numFmtId="3" fontId="32" fillId="0" borderId="75" xfId="101" applyNumberFormat="1" applyFont="1" applyFill="1" applyBorder="1" applyAlignment="1">
      <alignment horizontal="center" vertical="center"/>
      <protection/>
    </xf>
    <xf numFmtId="3" fontId="32" fillId="0" borderId="135" xfId="101" applyNumberFormat="1" applyFont="1" applyFill="1" applyBorder="1" applyAlignment="1">
      <alignment horizontal="center" vertical="center"/>
      <protection/>
    </xf>
    <xf numFmtId="3" fontId="32" fillId="0" borderId="145" xfId="101" applyNumberFormat="1" applyFont="1" applyFill="1" applyBorder="1" applyAlignment="1">
      <alignment horizontal="center" vertical="center"/>
      <protection/>
    </xf>
    <xf numFmtId="0" fontId="35" fillId="0" borderId="176" xfId="107" applyFont="1" applyFill="1" applyBorder="1" applyAlignment="1">
      <alignment horizontal="center" vertical="center" wrapText="1"/>
      <protection/>
    </xf>
    <xf numFmtId="0" fontId="35" fillId="0" borderId="61" xfId="107" applyFont="1" applyFill="1" applyBorder="1" applyAlignment="1">
      <alignment horizontal="center" vertical="center" wrapText="1"/>
      <protection/>
    </xf>
    <xf numFmtId="0" fontId="35" fillId="0" borderId="194" xfId="107" applyFont="1" applyFill="1" applyBorder="1" applyAlignment="1">
      <alignment horizontal="center" vertical="center" wrapText="1"/>
      <protection/>
    </xf>
    <xf numFmtId="0" fontId="35" fillId="0" borderId="112" xfId="107" applyFont="1" applyFill="1" applyBorder="1" applyAlignment="1">
      <alignment horizontal="center" vertical="center" wrapText="1"/>
      <protection/>
    </xf>
    <xf numFmtId="0" fontId="35" fillId="0" borderId="177" xfId="107" applyFont="1" applyFill="1" applyBorder="1" applyAlignment="1">
      <alignment horizontal="center" vertical="center" wrapText="1"/>
      <protection/>
    </xf>
    <xf numFmtId="0" fontId="35" fillId="0" borderId="147" xfId="107" applyFont="1" applyFill="1" applyBorder="1" applyAlignment="1">
      <alignment horizontal="center" vertical="center" wrapText="1"/>
      <protection/>
    </xf>
    <xf numFmtId="0" fontId="31" fillId="0" borderId="152" xfId="101" applyFont="1" applyFill="1" applyBorder="1" applyAlignment="1">
      <alignment horizontal="left"/>
      <protection/>
    </xf>
    <xf numFmtId="0" fontId="31" fillId="0" borderId="61" xfId="101" applyFont="1" applyFill="1" applyBorder="1" applyAlignment="1">
      <alignment horizontal="left"/>
      <protection/>
    </xf>
    <xf numFmtId="0" fontId="31" fillId="0" borderId="97" xfId="101" applyFont="1" applyFill="1" applyBorder="1" applyAlignment="1">
      <alignment horizontal="center"/>
      <protection/>
    </xf>
    <xf numFmtId="0" fontId="31" fillId="0" borderId="193" xfId="101" applyFont="1" applyFill="1" applyBorder="1" applyAlignment="1">
      <alignment horizontal="center"/>
      <protection/>
    </xf>
    <xf numFmtId="0" fontId="31" fillId="0" borderId="98" xfId="101" applyFont="1" applyFill="1" applyBorder="1" applyAlignment="1">
      <alignment horizontal="center"/>
      <protection/>
    </xf>
    <xf numFmtId="0" fontId="35" fillId="0" borderId="97" xfId="107" applyFont="1" applyFill="1" applyBorder="1" applyAlignment="1">
      <alignment horizontal="center" vertical="center" wrapText="1"/>
      <protection/>
    </xf>
    <xf numFmtId="0" fontId="35" fillId="0" borderId="193" xfId="107" applyFont="1" applyFill="1" applyBorder="1" applyAlignment="1">
      <alignment horizontal="center" vertical="center" wrapText="1"/>
      <protection/>
    </xf>
    <xf numFmtId="0" fontId="35" fillId="0" borderId="98" xfId="107" applyFont="1" applyFill="1" applyBorder="1" applyAlignment="1">
      <alignment horizontal="center" vertical="center" wrapText="1"/>
      <protection/>
    </xf>
    <xf numFmtId="0" fontId="32" fillId="0" borderId="49" xfId="101" applyFont="1" applyFill="1" applyBorder="1" applyAlignment="1">
      <alignment horizontal="center" vertical="center"/>
      <protection/>
    </xf>
    <xf numFmtId="0" fontId="32" fillId="0" borderId="128" xfId="101" applyFont="1" applyFill="1" applyBorder="1" applyAlignment="1">
      <alignment horizontal="center" vertical="center"/>
      <protection/>
    </xf>
    <xf numFmtId="0" fontId="11" fillId="0" borderId="176" xfId="107" applyFont="1" applyFill="1" applyBorder="1" applyAlignment="1">
      <alignment horizontal="center" vertical="center" wrapText="1"/>
      <protection/>
    </xf>
    <xf numFmtId="0" fontId="11" fillId="0" borderId="61" xfId="107" applyFont="1" applyFill="1" applyBorder="1" applyAlignment="1">
      <alignment horizontal="center" vertical="center" wrapText="1"/>
      <protection/>
    </xf>
    <xf numFmtId="0" fontId="11" fillId="0" borderId="194" xfId="107" applyFont="1" applyFill="1" applyBorder="1" applyAlignment="1">
      <alignment horizontal="center" vertical="center" wrapText="1"/>
      <protection/>
    </xf>
    <xf numFmtId="0" fontId="11" fillId="0" borderId="112" xfId="107" applyFont="1" applyFill="1" applyBorder="1" applyAlignment="1">
      <alignment horizontal="center" vertical="center" wrapText="1"/>
      <protection/>
    </xf>
    <xf numFmtId="0" fontId="11" fillId="0" borderId="177" xfId="107" applyFont="1" applyFill="1" applyBorder="1" applyAlignment="1">
      <alignment horizontal="center" vertical="center" wrapText="1"/>
      <protection/>
    </xf>
    <xf numFmtId="0" fontId="11" fillId="0" borderId="147" xfId="107" applyFont="1" applyFill="1" applyBorder="1" applyAlignment="1">
      <alignment horizontal="center" vertical="center" wrapText="1"/>
      <protection/>
    </xf>
    <xf numFmtId="0" fontId="7" fillId="0" borderId="19" xfId="107" applyFont="1" applyFill="1" applyBorder="1" applyAlignment="1">
      <alignment horizontal="center" vertical="center" wrapText="1"/>
      <protection/>
    </xf>
    <xf numFmtId="0" fontId="55" fillId="0" borderId="75" xfId="101" applyFont="1" applyFill="1" applyBorder="1" applyAlignment="1">
      <alignment horizontal="center" vertical="center" wrapText="1"/>
      <protection/>
    </xf>
    <xf numFmtId="0" fontId="55" fillId="0" borderId="145" xfId="101" applyFont="1" applyFill="1" applyBorder="1" applyAlignment="1">
      <alignment horizontal="center" vertical="center" wrapText="1"/>
      <protection/>
    </xf>
    <xf numFmtId="0" fontId="31" fillId="0" borderId="19" xfId="101" applyFont="1" applyFill="1" applyBorder="1" applyAlignment="1">
      <alignment horizontal="center"/>
      <protection/>
    </xf>
    <xf numFmtId="0" fontId="32" fillId="0" borderId="72" xfId="101" applyFont="1" applyFill="1" applyBorder="1" applyAlignment="1">
      <alignment horizontal="center" vertical="center" wrapText="1"/>
      <protection/>
    </xf>
    <xf numFmtId="0" fontId="31" fillId="0" borderId="176" xfId="101" applyFont="1" applyFill="1" applyBorder="1" applyAlignment="1">
      <alignment horizontal="left"/>
      <protection/>
    </xf>
    <xf numFmtId="169" fontId="31" fillId="0" borderId="65" xfId="76" applyNumberFormat="1" applyFont="1" applyFill="1" applyBorder="1" applyAlignment="1">
      <alignment horizontal="center" vertical="center"/>
    </xf>
    <xf numFmtId="0" fontId="32" fillId="0" borderId="71" xfId="101" applyFont="1" applyFill="1" applyBorder="1" applyAlignment="1">
      <alignment horizontal="left"/>
      <protection/>
    </xf>
    <xf numFmtId="0" fontId="32" fillId="0" borderId="72" xfId="101" applyFont="1" applyFill="1" applyBorder="1" applyAlignment="1">
      <alignment horizontal="left"/>
      <protection/>
    </xf>
    <xf numFmtId="0" fontId="32" fillId="0" borderId="19" xfId="101" applyFont="1" applyFill="1" applyBorder="1" applyAlignment="1">
      <alignment horizontal="center"/>
      <protection/>
    </xf>
    <xf numFmtId="0" fontId="32" fillId="0" borderId="71" xfId="101" applyFont="1" applyFill="1" applyBorder="1" applyAlignment="1">
      <alignment horizontal="center"/>
      <protection/>
    </xf>
    <xf numFmtId="0" fontId="32" fillId="0" borderId="72" xfId="101" applyFont="1" applyFill="1" applyBorder="1" applyAlignment="1">
      <alignment horizontal="center"/>
      <protection/>
    </xf>
    <xf numFmtId="0" fontId="39" fillId="0" borderId="97" xfId="101" applyFont="1" applyFill="1" applyBorder="1" applyAlignment="1">
      <alignment horizontal="center"/>
      <protection/>
    </xf>
    <xf numFmtId="0" fontId="39" fillId="0" borderId="193" xfId="101" applyFont="1" applyFill="1" applyBorder="1" applyAlignment="1">
      <alignment horizontal="center"/>
      <protection/>
    </xf>
    <xf numFmtId="0" fontId="39" fillId="0" borderId="185" xfId="101" applyFont="1" applyFill="1" applyBorder="1" applyAlignment="1">
      <alignment horizontal="center"/>
      <protection/>
    </xf>
    <xf numFmtId="0" fontId="55" fillId="0" borderId="184" xfId="101" applyFont="1" applyFill="1" applyBorder="1" applyAlignment="1">
      <alignment horizontal="center" wrapText="1"/>
      <protection/>
    </xf>
    <xf numFmtId="0" fontId="55" fillId="0" borderId="135" xfId="101" applyFont="1" applyFill="1" applyBorder="1" applyAlignment="1" quotePrefix="1">
      <alignment horizontal="center" wrapText="1"/>
      <protection/>
    </xf>
    <xf numFmtId="0" fontId="32" fillId="0" borderId="64" xfId="101" applyFont="1" applyFill="1" applyBorder="1" applyAlignment="1">
      <alignment horizontal="left"/>
      <protection/>
    </xf>
    <xf numFmtId="0" fontId="32" fillId="0" borderId="65" xfId="101" applyFont="1" applyFill="1" applyBorder="1" applyAlignment="1">
      <alignment horizontal="left"/>
      <protection/>
    </xf>
    <xf numFmtId="0" fontId="32" fillId="0" borderId="69" xfId="101" applyFont="1" applyFill="1" applyBorder="1" applyAlignment="1">
      <alignment horizontal="left"/>
      <protection/>
    </xf>
    <xf numFmtId="0" fontId="32" fillId="0" borderId="70" xfId="101" applyFont="1" applyFill="1" applyBorder="1" applyAlignment="1">
      <alignment horizontal="left"/>
      <protection/>
    </xf>
    <xf numFmtId="0" fontId="55" fillId="0" borderId="65" xfId="101" applyFont="1" applyFill="1" applyBorder="1" applyAlignment="1">
      <alignment horizontal="center" wrapText="1"/>
      <protection/>
    </xf>
    <xf numFmtId="0" fontId="55" fillId="0" borderId="65" xfId="101" applyFont="1" applyFill="1" applyBorder="1" applyAlignment="1" quotePrefix="1">
      <alignment horizontal="center" wrapText="1"/>
      <protection/>
    </xf>
    <xf numFmtId="0" fontId="45" fillId="0" borderId="75" xfId="101" applyFont="1" applyFill="1" applyBorder="1" applyAlignment="1">
      <alignment horizontal="center" vertical="center"/>
      <protection/>
    </xf>
    <xf numFmtId="0" fontId="45" fillId="0" borderId="135" xfId="101" applyFont="1" applyFill="1" applyBorder="1" applyAlignment="1">
      <alignment horizontal="center" vertical="center"/>
      <protection/>
    </xf>
    <xf numFmtId="0" fontId="45" fillId="0" borderId="145" xfId="101" applyFont="1" applyFill="1" applyBorder="1" applyAlignment="1">
      <alignment horizontal="center" vertical="center"/>
      <protection/>
    </xf>
    <xf numFmtId="49" fontId="32" fillId="0" borderId="72" xfId="101" applyNumberFormat="1" applyFont="1" applyFill="1" applyBorder="1" applyAlignment="1">
      <alignment horizontal="center" vertical="center"/>
      <protection/>
    </xf>
    <xf numFmtId="0" fontId="31" fillId="0" borderId="0" xfId="101" applyFont="1" applyFill="1" applyAlignment="1">
      <alignment horizontal="left"/>
      <protection/>
    </xf>
    <xf numFmtId="0" fontId="31" fillId="0" borderId="0" xfId="101" applyFont="1" applyFill="1" applyAlignment="1">
      <alignment horizontal="center"/>
      <protection/>
    </xf>
    <xf numFmtId="0" fontId="33" fillId="0" borderId="177" xfId="101" applyFont="1" applyFill="1" applyBorder="1" applyAlignment="1">
      <alignment horizontal="center"/>
      <protection/>
    </xf>
    <xf numFmtId="0" fontId="34" fillId="0" borderId="19" xfId="108" applyFont="1" applyFill="1" applyBorder="1" applyAlignment="1">
      <alignment horizontal="center" vertical="center" textRotation="90" wrapText="1"/>
      <protection/>
    </xf>
    <xf numFmtId="0" fontId="34" fillId="0" borderId="116" xfId="108" applyFont="1" applyFill="1" applyBorder="1" applyAlignment="1">
      <alignment horizontal="center" vertical="center" textRotation="90" wrapText="1"/>
      <protection/>
    </xf>
    <xf numFmtId="0" fontId="34" fillId="0" borderId="128" xfId="108" applyFont="1" applyFill="1" applyBorder="1" applyAlignment="1">
      <alignment horizontal="center" vertical="center" textRotation="90" wrapText="1"/>
      <protection/>
    </xf>
    <xf numFmtId="0" fontId="34" fillId="0" borderId="62" xfId="108" applyFont="1" applyFill="1" applyBorder="1" applyAlignment="1">
      <alignment horizontal="center" vertical="center" textRotation="90" wrapText="1"/>
      <protection/>
    </xf>
    <xf numFmtId="0" fontId="34" fillId="0" borderId="19" xfId="107" applyFont="1" applyFill="1" applyBorder="1" applyAlignment="1">
      <alignment horizontal="center" vertical="center"/>
      <protection/>
    </xf>
    <xf numFmtId="0" fontId="36" fillId="0" borderId="116" xfId="107" applyFont="1" applyFill="1" applyBorder="1" applyAlignment="1">
      <alignment horizontal="center" vertical="center" wrapText="1"/>
      <protection/>
    </xf>
    <xf numFmtId="0" fontId="36" fillId="0" borderId="128" xfId="107" applyFont="1" applyFill="1" applyBorder="1" applyAlignment="1">
      <alignment horizontal="center" vertical="center" wrapText="1"/>
      <protection/>
    </xf>
    <xf numFmtId="0" fontId="36" fillId="0" borderId="62" xfId="107" applyFont="1" applyFill="1" applyBorder="1" applyAlignment="1">
      <alignment horizontal="center" vertical="center" wrapText="1"/>
      <protection/>
    </xf>
    <xf numFmtId="0" fontId="37" fillId="0" borderId="116" xfId="107" applyFont="1" applyFill="1" applyBorder="1" applyAlignment="1">
      <alignment horizontal="center" vertical="center" wrapText="1"/>
      <protection/>
    </xf>
    <xf numFmtId="0" fontId="37" fillId="0" borderId="128" xfId="107" applyFont="1" applyFill="1" applyBorder="1" applyAlignment="1">
      <alignment horizontal="center" vertical="center" wrapText="1"/>
      <protection/>
    </xf>
    <xf numFmtId="0" fontId="37" fillId="0" borderId="62" xfId="107" applyFont="1" applyFill="1" applyBorder="1" applyAlignment="1">
      <alignment horizontal="center" vertical="center" wrapText="1"/>
      <protection/>
    </xf>
    <xf numFmtId="0" fontId="35" fillId="0" borderId="19" xfId="107" applyFont="1" applyFill="1" applyBorder="1" applyAlignment="1">
      <alignment horizontal="center" vertical="center" wrapText="1"/>
      <protection/>
    </xf>
    <xf numFmtId="0" fontId="36" fillId="0" borderId="116" xfId="107" applyFont="1" applyFill="1" applyBorder="1" applyAlignment="1">
      <alignment horizontal="center" vertical="center"/>
      <protection/>
    </xf>
    <xf numFmtId="0" fontId="36" fillId="0" borderId="128" xfId="107" applyFont="1" applyFill="1" applyBorder="1" applyAlignment="1">
      <alignment horizontal="center" vertical="center"/>
      <protection/>
    </xf>
    <xf numFmtId="0" fontId="36" fillId="0" borderId="62" xfId="107" applyFont="1" applyFill="1" applyBorder="1" applyAlignment="1">
      <alignment horizontal="center" vertical="center"/>
      <protection/>
    </xf>
    <xf numFmtId="0" fontId="32" fillId="47" borderId="69" xfId="101" applyFont="1" applyFill="1" applyBorder="1" applyAlignment="1">
      <alignment horizontal="center"/>
      <protection/>
    </xf>
    <xf numFmtId="0" fontId="32" fillId="47" borderId="70" xfId="101" applyFont="1" applyFill="1" applyBorder="1" applyAlignment="1">
      <alignment horizontal="center"/>
      <protection/>
    </xf>
    <xf numFmtId="0" fontId="32" fillId="47" borderId="186" xfId="101" applyFont="1" applyFill="1" applyBorder="1" applyAlignment="1">
      <alignment horizontal="center" vertical="center" textRotation="90" wrapText="1"/>
      <protection/>
    </xf>
    <xf numFmtId="0" fontId="32" fillId="47" borderId="179" xfId="101" applyFont="1" applyFill="1" applyBorder="1" applyAlignment="1">
      <alignment horizontal="center" vertical="center" textRotation="90" wrapText="1"/>
      <protection/>
    </xf>
    <xf numFmtId="0" fontId="41" fillId="47" borderId="77" xfId="101" applyFont="1" applyFill="1" applyBorder="1" applyAlignment="1" quotePrefix="1">
      <alignment horizontal="center" vertical="center" wrapText="1"/>
      <protection/>
    </xf>
    <xf numFmtId="0" fontId="41" fillId="47" borderId="63" xfId="101" applyFont="1" applyFill="1" applyBorder="1" applyAlignment="1" quotePrefix="1">
      <alignment horizontal="center" vertical="center" wrapText="1"/>
      <protection/>
    </xf>
    <xf numFmtId="0" fontId="41" fillId="47" borderId="178" xfId="101" applyFont="1" applyFill="1" applyBorder="1" applyAlignment="1" quotePrefix="1">
      <alignment horizontal="center" vertical="center" wrapText="1"/>
      <protection/>
    </xf>
    <xf numFmtId="0" fontId="41" fillId="47" borderId="148" xfId="101" applyFont="1" applyFill="1" applyBorder="1" applyAlignment="1" quotePrefix="1">
      <alignment horizontal="center" vertical="center" wrapText="1"/>
      <protection/>
    </xf>
    <xf numFmtId="0" fontId="32" fillId="47" borderId="184" xfId="101" applyFont="1" applyFill="1" applyBorder="1" applyAlignment="1">
      <alignment horizontal="center" vertical="center" wrapText="1"/>
      <protection/>
    </xf>
    <xf numFmtId="0" fontId="32" fillId="47" borderId="145" xfId="101" applyFont="1" applyFill="1" applyBorder="1" applyAlignment="1">
      <alignment horizontal="center" vertical="center" wrapText="1"/>
      <protection/>
    </xf>
    <xf numFmtId="0" fontId="32" fillId="47" borderId="184" xfId="101" applyFont="1" applyFill="1" applyBorder="1" applyAlignment="1">
      <alignment horizontal="center" vertical="center" textRotation="90" wrapText="1"/>
      <protection/>
    </xf>
    <xf numFmtId="0" fontId="32" fillId="47" borderId="101" xfId="101" applyFont="1" applyFill="1" applyBorder="1" applyAlignment="1">
      <alignment horizontal="center" vertical="center" textRotation="90" wrapText="1"/>
      <protection/>
    </xf>
    <xf numFmtId="0" fontId="41" fillId="47" borderId="77" xfId="101" applyFont="1" applyFill="1" applyBorder="1" applyAlignment="1">
      <alignment horizontal="center" vertical="center" wrapText="1"/>
      <protection/>
    </xf>
    <xf numFmtId="0" fontId="31" fillId="47" borderId="71" xfId="101" applyFont="1" applyFill="1" applyBorder="1" applyAlignment="1">
      <alignment horizontal="center"/>
      <protection/>
    </xf>
    <xf numFmtId="0" fontId="31" fillId="47" borderId="72" xfId="101" applyFont="1" applyFill="1" applyBorder="1" applyAlignment="1">
      <alignment horizontal="center"/>
      <protection/>
    </xf>
    <xf numFmtId="0" fontId="31" fillId="47" borderId="97" xfId="101" applyFont="1" applyFill="1" applyBorder="1" applyAlignment="1">
      <alignment horizontal="left"/>
      <protection/>
    </xf>
    <xf numFmtId="0" fontId="64" fillId="47" borderId="193" xfId="101" applyFill="1" applyBorder="1" applyAlignment="1">
      <alignment horizontal="left"/>
      <protection/>
    </xf>
    <xf numFmtId="0" fontId="64" fillId="47" borderId="98" xfId="101" applyFill="1" applyBorder="1" applyAlignment="1">
      <alignment horizontal="left"/>
      <protection/>
    </xf>
    <xf numFmtId="0" fontId="31" fillId="47" borderId="19" xfId="101" applyFont="1" applyFill="1" applyBorder="1" applyAlignment="1">
      <alignment horizontal="right"/>
      <protection/>
    </xf>
    <xf numFmtId="0" fontId="31" fillId="47" borderId="179" xfId="101" applyFont="1" applyFill="1" applyBorder="1" applyAlignment="1">
      <alignment horizontal="right"/>
      <protection/>
    </xf>
    <xf numFmtId="0" fontId="31" fillId="47" borderId="101" xfId="101" applyFont="1" applyFill="1" applyBorder="1" applyAlignment="1">
      <alignment horizontal="right"/>
      <protection/>
    </xf>
    <xf numFmtId="0" fontId="31" fillId="47" borderId="71" xfId="101" applyFont="1" applyFill="1" applyBorder="1" applyAlignment="1">
      <alignment horizontal="right"/>
      <protection/>
    </xf>
    <xf numFmtId="0" fontId="31" fillId="47" borderId="72" xfId="101" applyFont="1" applyFill="1" applyBorder="1" applyAlignment="1">
      <alignment horizontal="right"/>
      <protection/>
    </xf>
    <xf numFmtId="0" fontId="32" fillId="47" borderId="64" xfId="101" applyFont="1" applyFill="1" applyBorder="1" applyAlignment="1">
      <alignment horizontal="center"/>
      <protection/>
    </xf>
    <xf numFmtId="0" fontId="32" fillId="47" borderId="65" xfId="101" applyFont="1" applyFill="1" applyBorder="1" applyAlignment="1">
      <alignment horizontal="center"/>
      <protection/>
    </xf>
    <xf numFmtId="0" fontId="8" fillId="47" borderId="0" xfId="101" applyFont="1" applyFill="1" applyBorder="1" applyAlignment="1">
      <alignment horizontal="left" wrapText="1"/>
      <protection/>
    </xf>
    <xf numFmtId="0" fontId="8" fillId="47" borderId="0" xfId="101" applyFont="1" applyFill="1" applyBorder="1" applyAlignment="1">
      <alignment horizontal="center" wrapText="1"/>
      <protection/>
    </xf>
    <xf numFmtId="0" fontId="36" fillId="47" borderId="116" xfId="107" applyFont="1" applyFill="1" applyBorder="1" applyAlignment="1">
      <alignment horizontal="center" vertical="center" wrapText="1"/>
      <protection/>
    </xf>
    <xf numFmtId="0" fontId="36" fillId="47" borderId="62" xfId="107" applyFont="1" applyFill="1" applyBorder="1" applyAlignment="1">
      <alignment horizontal="center" vertical="center" wrapText="1"/>
      <protection/>
    </xf>
    <xf numFmtId="0" fontId="28" fillId="47" borderId="195" xfId="107" applyFont="1" applyFill="1" applyBorder="1" applyAlignment="1">
      <alignment horizontal="right" vertical="center"/>
      <protection/>
    </xf>
    <xf numFmtId="0" fontId="28" fillId="47" borderId="80" xfId="107" applyFont="1" applyFill="1" applyBorder="1" applyAlignment="1">
      <alignment horizontal="right" vertical="center"/>
      <protection/>
    </xf>
    <xf numFmtId="0" fontId="43" fillId="47" borderId="182" xfId="101" applyFont="1" applyFill="1" applyBorder="1" applyAlignment="1">
      <alignment horizontal="left"/>
      <protection/>
    </xf>
    <xf numFmtId="0" fontId="43" fillId="47" borderId="75" xfId="101" applyFont="1" applyFill="1" applyBorder="1" applyAlignment="1">
      <alignment horizontal="left"/>
      <protection/>
    </xf>
    <xf numFmtId="0" fontId="44" fillId="47" borderId="102" xfId="101" applyFont="1" applyFill="1" applyBorder="1" applyAlignment="1">
      <alignment horizontal="left"/>
      <protection/>
    </xf>
    <xf numFmtId="0" fontId="44" fillId="47" borderId="67" xfId="101" applyFont="1" applyFill="1" applyBorder="1" applyAlignment="1">
      <alignment horizontal="left"/>
      <protection/>
    </xf>
    <xf numFmtId="0" fontId="6" fillId="47" borderId="115" xfId="107" applyFont="1" applyFill="1" applyBorder="1" applyAlignment="1" quotePrefix="1">
      <alignment horizontal="center" vertical="center"/>
      <protection/>
    </xf>
    <xf numFmtId="0" fontId="6" fillId="47" borderId="196" xfId="107" applyFont="1" applyFill="1" applyBorder="1" applyAlignment="1" quotePrefix="1">
      <alignment horizontal="center" vertical="center"/>
      <protection/>
    </xf>
    <xf numFmtId="0" fontId="3" fillId="47" borderId="97" xfId="101" applyFont="1" applyFill="1" applyBorder="1" applyAlignment="1">
      <alignment horizontal="right" vertical="center"/>
      <protection/>
    </xf>
    <xf numFmtId="0" fontId="3" fillId="47" borderId="193" xfId="101" applyFont="1" applyFill="1" applyBorder="1" applyAlignment="1">
      <alignment horizontal="right" vertical="center"/>
      <protection/>
    </xf>
    <xf numFmtId="0" fontId="3" fillId="47" borderId="98" xfId="101" applyFont="1" applyFill="1" applyBorder="1" applyAlignment="1">
      <alignment horizontal="right" vertical="center"/>
      <protection/>
    </xf>
    <xf numFmtId="0" fontId="43" fillId="47" borderId="181" xfId="101" applyFont="1" applyFill="1" applyBorder="1" applyAlignment="1">
      <alignment horizontal="left"/>
      <protection/>
    </xf>
    <xf numFmtId="0" fontId="43" fillId="47" borderId="145" xfId="101" applyFont="1" applyFill="1" applyBorder="1" applyAlignment="1">
      <alignment horizontal="left"/>
      <protection/>
    </xf>
    <xf numFmtId="0" fontId="43" fillId="47" borderId="64" xfId="101" applyFont="1" applyFill="1" applyBorder="1" applyAlignment="1">
      <alignment horizontal="left"/>
      <protection/>
    </xf>
    <xf numFmtId="0" fontId="43" fillId="47" borderId="65" xfId="101" applyFont="1" applyFill="1" applyBorder="1" applyAlignment="1">
      <alignment horizontal="left"/>
      <protection/>
    </xf>
    <xf numFmtId="0" fontId="6" fillId="47" borderId="197" xfId="107" applyFont="1" applyFill="1" applyBorder="1" applyAlignment="1">
      <alignment horizontal="center" vertical="center" wrapText="1"/>
      <protection/>
    </xf>
    <xf numFmtId="0" fontId="6" fillId="47" borderId="61" xfId="107" applyFont="1" applyFill="1" applyBorder="1" applyAlignment="1">
      <alignment horizontal="center" vertical="center" wrapText="1"/>
      <protection/>
    </xf>
    <xf numFmtId="0" fontId="6" fillId="47" borderId="198" xfId="107" applyFont="1" applyFill="1" applyBorder="1" applyAlignment="1">
      <alignment horizontal="center" vertical="center" wrapText="1"/>
      <protection/>
    </xf>
    <xf numFmtId="0" fontId="29" fillId="47" borderId="0" xfId="107" applyFont="1" applyFill="1" applyBorder="1" applyAlignment="1">
      <alignment horizontal="center" vertical="center" wrapText="1"/>
      <protection/>
    </xf>
    <xf numFmtId="0" fontId="10" fillId="47" borderId="19" xfId="107" applyFont="1" applyFill="1" applyBorder="1" applyAlignment="1">
      <alignment horizontal="center" vertical="center" textRotation="90"/>
      <protection/>
    </xf>
    <xf numFmtId="0" fontId="10" fillId="47" borderId="19" xfId="107" applyFont="1" applyFill="1" applyBorder="1" applyAlignment="1">
      <alignment horizontal="center" vertical="center" textRotation="90" wrapText="1"/>
      <protection/>
    </xf>
    <xf numFmtId="0" fontId="3" fillId="47" borderId="19" xfId="107" applyFont="1" applyFill="1" applyBorder="1" applyAlignment="1">
      <alignment horizontal="center" vertical="center"/>
      <protection/>
    </xf>
    <xf numFmtId="0" fontId="8" fillId="47" borderId="97" xfId="107" applyFont="1" applyFill="1" applyBorder="1" applyAlignment="1">
      <alignment horizontal="center" vertical="center" wrapText="1"/>
      <protection/>
    </xf>
    <xf numFmtId="0" fontId="8" fillId="47" borderId="193" xfId="107" applyFont="1" applyFill="1" applyBorder="1" applyAlignment="1">
      <alignment horizontal="center" vertical="center" wrapText="1"/>
      <protection/>
    </xf>
    <xf numFmtId="0" fontId="7" fillId="47" borderId="116" xfId="107" applyFont="1" applyFill="1" applyBorder="1" applyAlignment="1">
      <alignment horizontal="center" vertical="center" wrapText="1"/>
      <protection/>
    </xf>
    <xf numFmtId="0" fontId="7" fillId="47" borderId="128" xfId="107" applyFont="1" applyFill="1" applyBorder="1" applyAlignment="1">
      <alignment horizontal="center" vertical="center" wrapText="1"/>
      <protection/>
    </xf>
    <xf numFmtId="0" fontId="7" fillId="47" borderId="62" xfId="107" applyFont="1" applyFill="1" applyBorder="1" applyAlignment="1">
      <alignment horizontal="center" vertical="center" wrapText="1"/>
      <protection/>
    </xf>
    <xf numFmtId="0" fontId="7" fillId="47" borderId="194" xfId="107" applyFont="1" applyFill="1" applyBorder="1" applyAlignment="1">
      <alignment horizontal="center" vertical="center" wrapText="1"/>
      <protection/>
    </xf>
    <xf numFmtId="0" fontId="7" fillId="47" borderId="164" xfId="107" applyFont="1" applyFill="1" applyBorder="1" applyAlignment="1">
      <alignment horizontal="center" vertical="center" wrapText="1"/>
      <protection/>
    </xf>
    <xf numFmtId="0" fontId="7" fillId="47" borderId="199" xfId="107" applyFont="1" applyFill="1" applyBorder="1" applyAlignment="1">
      <alignment horizontal="center" vertical="center" wrapText="1"/>
      <protection/>
    </xf>
    <xf numFmtId="0" fontId="29" fillId="47" borderId="0" xfId="107" applyFont="1" applyFill="1" applyBorder="1" applyAlignment="1">
      <alignment horizontal="center" wrapText="1"/>
      <protection/>
    </xf>
    <xf numFmtId="0" fontId="6" fillId="47" borderId="45" xfId="107" applyFont="1" applyFill="1" applyBorder="1" applyAlignment="1" quotePrefix="1">
      <alignment horizontal="center" vertical="center"/>
      <protection/>
    </xf>
    <xf numFmtId="49" fontId="6" fillId="47" borderId="19" xfId="107" applyNumberFormat="1" applyFont="1" applyFill="1" applyBorder="1" applyAlignment="1">
      <alignment horizontal="center" vertical="center"/>
      <protection/>
    </xf>
    <xf numFmtId="49" fontId="6" fillId="47" borderId="19" xfId="107" applyNumberFormat="1" applyFont="1" applyFill="1" applyBorder="1" applyAlignment="1" quotePrefix="1">
      <alignment horizontal="center" vertical="center"/>
      <protection/>
    </xf>
    <xf numFmtId="0" fontId="6" fillId="47" borderId="200" xfId="107" applyFont="1" applyFill="1" applyBorder="1" applyAlignment="1">
      <alignment horizontal="center"/>
      <protection/>
    </xf>
    <xf numFmtId="0" fontId="11" fillId="47" borderId="19" xfId="107" applyFont="1" applyFill="1" applyBorder="1" applyAlignment="1">
      <alignment horizontal="center" vertical="center" wrapText="1"/>
      <protection/>
    </xf>
    <xf numFmtId="0" fontId="8" fillId="47" borderId="197" xfId="107" applyFont="1" applyFill="1" applyBorder="1" applyAlignment="1">
      <alignment horizontal="center" vertical="center" wrapText="1"/>
      <protection/>
    </xf>
    <xf numFmtId="0" fontId="8" fillId="47" borderId="198" xfId="107" applyFont="1" applyFill="1" applyBorder="1" applyAlignment="1">
      <alignment horizontal="center" vertical="center" wrapText="1"/>
      <protection/>
    </xf>
    <xf numFmtId="0" fontId="43" fillId="47" borderId="116" xfId="101" applyFont="1" applyFill="1" applyBorder="1" applyAlignment="1">
      <alignment horizontal="center" vertical="center" wrapText="1"/>
      <protection/>
    </xf>
    <xf numFmtId="0" fontId="43" fillId="47" borderId="62" xfId="101" applyFont="1" applyFill="1" applyBorder="1" applyAlignment="1">
      <alignment horizontal="center" vertical="center" wrapText="1"/>
      <protection/>
    </xf>
    <xf numFmtId="0" fontId="43" fillId="47" borderId="201" xfId="101" applyFont="1" applyFill="1" applyBorder="1" applyAlignment="1">
      <alignment horizontal="center" textRotation="90"/>
      <protection/>
    </xf>
    <xf numFmtId="0" fontId="43" fillId="47" borderId="100" xfId="101" applyFont="1" applyFill="1" applyBorder="1" applyAlignment="1">
      <alignment horizontal="center" textRotation="90"/>
      <protection/>
    </xf>
    <xf numFmtId="0" fontId="43" fillId="47" borderId="194" xfId="101" applyFont="1" applyFill="1" applyBorder="1" applyAlignment="1">
      <alignment horizontal="center" vertical="center"/>
      <protection/>
    </xf>
    <xf numFmtId="0" fontId="43" fillId="47" borderId="199" xfId="101" applyFont="1" applyFill="1" applyBorder="1" applyAlignment="1">
      <alignment horizontal="center" vertical="center"/>
      <protection/>
    </xf>
    <xf numFmtId="0" fontId="43" fillId="47" borderId="61" xfId="101" applyFont="1" applyFill="1" applyBorder="1" applyAlignment="1">
      <alignment horizontal="center" textRotation="90"/>
      <protection/>
    </xf>
    <xf numFmtId="0" fontId="43" fillId="47" borderId="80" xfId="101" applyFont="1" applyFill="1" applyBorder="1" applyAlignment="1">
      <alignment horizontal="center" textRotation="90"/>
      <protection/>
    </xf>
    <xf numFmtId="0" fontId="43" fillId="47" borderId="97" xfId="101" applyFont="1" applyFill="1" applyBorder="1" applyAlignment="1">
      <alignment horizontal="center" vertical="center" wrapText="1"/>
      <protection/>
    </xf>
    <xf numFmtId="0" fontId="43" fillId="47" borderId="193" xfId="101" applyFont="1" applyFill="1" applyBorder="1" applyAlignment="1">
      <alignment horizontal="center" vertical="center" wrapText="1"/>
      <protection/>
    </xf>
    <xf numFmtId="0" fontId="43" fillId="47" borderId="202" xfId="101" applyFont="1" applyFill="1" applyBorder="1" applyAlignment="1">
      <alignment horizontal="center" vertical="center" wrapText="1"/>
      <protection/>
    </xf>
    <xf numFmtId="0" fontId="43" fillId="47" borderId="201" xfId="101" applyFont="1" applyFill="1" applyBorder="1" applyAlignment="1">
      <alignment horizontal="center" wrapText="1"/>
      <protection/>
    </xf>
    <xf numFmtId="0" fontId="43" fillId="47" borderId="61" xfId="101" applyFont="1" applyFill="1" applyBorder="1" applyAlignment="1">
      <alignment horizontal="center" wrapText="1"/>
      <protection/>
    </xf>
    <xf numFmtId="0" fontId="43" fillId="47" borderId="194" xfId="101" applyFont="1" applyFill="1" applyBorder="1" applyAlignment="1">
      <alignment horizontal="center" wrapText="1"/>
      <protection/>
    </xf>
    <xf numFmtId="0" fontId="29" fillId="47" borderId="0" xfId="107" applyFont="1" applyFill="1" applyBorder="1" applyAlignment="1">
      <alignment horizontal="left" vertical="center" wrapText="1"/>
      <protection/>
    </xf>
    <xf numFmtId="0" fontId="44" fillId="47" borderId="0" xfId="101" applyFont="1" applyFill="1" applyBorder="1" applyAlignment="1">
      <alignment horizontal="left"/>
      <protection/>
    </xf>
    <xf numFmtId="0" fontId="44" fillId="47" borderId="80" xfId="101" applyFont="1" applyFill="1" applyBorder="1" applyAlignment="1">
      <alignment horizontal="left"/>
      <protection/>
    </xf>
    <xf numFmtId="0" fontId="44" fillId="47" borderId="100" xfId="101" applyFont="1" applyFill="1" applyBorder="1" applyAlignment="1">
      <alignment horizontal="left"/>
      <protection/>
    </xf>
    <xf numFmtId="0" fontId="44" fillId="47" borderId="203" xfId="101" applyFont="1" applyFill="1" applyBorder="1" applyAlignment="1">
      <alignment horizontal="left"/>
      <protection/>
    </xf>
    <xf numFmtId="0" fontId="44" fillId="47" borderId="100" xfId="101" applyFont="1" applyFill="1" applyBorder="1" applyAlignment="1">
      <alignment horizontal="center"/>
      <protection/>
    </xf>
    <xf numFmtId="0" fontId="44" fillId="47" borderId="80" xfId="101" applyFont="1" applyFill="1" applyBorder="1" applyAlignment="1">
      <alignment horizontal="center"/>
      <protection/>
    </xf>
    <xf numFmtId="0" fontId="44" fillId="47" borderId="204" xfId="101" applyFont="1" applyFill="1" applyBorder="1" applyAlignment="1">
      <alignment horizontal="center"/>
      <protection/>
    </xf>
    <xf numFmtId="0" fontId="43" fillId="47" borderId="176" xfId="101" applyFont="1" applyFill="1" applyBorder="1" applyAlignment="1">
      <alignment horizontal="center" vertical="center" wrapText="1"/>
      <protection/>
    </xf>
    <xf numFmtId="0" fontId="43" fillId="47" borderId="61" xfId="101" applyFont="1" applyFill="1" applyBorder="1" applyAlignment="1">
      <alignment horizontal="center" vertical="center" wrapText="1"/>
      <protection/>
    </xf>
    <xf numFmtId="0" fontId="43" fillId="47" borderId="194" xfId="101" applyFont="1" applyFill="1" applyBorder="1" applyAlignment="1">
      <alignment horizontal="center" vertical="center" wrapText="1"/>
      <protection/>
    </xf>
    <xf numFmtId="0" fontId="43" fillId="47" borderId="98" xfId="101" applyFont="1" applyFill="1" applyBorder="1" applyAlignment="1">
      <alignment horizontal="center" vertical="center" wrapText="1"/>
      <protection/>
    </xf>
    <xf numFmtId="0" fontId="44" fillId="47" borderId="177" xfId="101" applyFont="1" applyFill="1" applyBorder="1" applyAlignment="1">
      <alignment horizontal="left"/>
      <protection/>
    </xf>
    <xf numFmtId="0" fontId="44" fillId="47" borderId="205" xfId="101" applyFont="1" applyFill="1" applyBorder="1" applyAlignment="1">
      <alignment horizontal="left"/>
      <protection/>
    </xf>
    <xf numFmtId="0" fontId="48" fillId="47" borderId="45" xfId="101" applyFont="1" applyFill="1" applyBorder="1" applyAlignment="1">
      <alignment horizontal="right"/>
      <protection/>
    </xf>
    <xf numFmtId="0" fontId="48" fillId="47" borderId="85" xfId="101" applyFont="1" applyFill="1" applyBorder="1" applyAlignment="1">
      <alignment horizontal="right"/>
      <protection/>
    </xf>
    <xf numFmtId="0" fontId="44" fillId="47" borderId="45" xfId="101" applyFont="1" applyFill="1" applyBorder="1" applyAlignment="1">
      <alignment horizontal="center"/>
      <protection/>
    </xf>
    <xf numFmtId="0" fontId="44" fillId="47" borderId="85" xfId="101" applyFont="1" applyFill="1" applyBorder="1" applyAlignment="1">
      <alignment horizontal="center"/>
      <protection/>
    </xf>
    <xf numFmtId="0" fontId="44" fillId="47" borderId="26" xfId="101" applyFont="1" applyFill="1" applyBorder="1" applyAlignment="1">
      <alignment horizontal="center"/>
      <protection/>
    </xf>
    <xf numFmtId="0" fontId="37" fillId="47" borderId="39" xfId="107" applyFont="1" applyFill="1" applyBorder="1" applyAlignment="1">
      <alignment horizontal="center" vertical="center" textRotation="90"/>
      <protection/>
    </xf>
    <xf numFmtId="0" fontId="37" fillId="47" borderId="177" xfId="107" applyFont="1" applyFill="1" applyBorder="1" applyAlignment="1">
      <alignment horizontal="center" vertical="center" textRotation="90"/>
      <protection/>
    </xf>
    <xf numFmtId="0" fontId="37" fillId="47" borderId="39" xfId="107" applyFont="1" applyFill="1" applyBorder="1" applyAlignment="1">
      <alignment horizontal="center" vertical="center" textRotation="90" wrapText="1"/>
      <protection/>
    </xf>
    <xf numFmtId="0" fontId="37" fillId="47" borderId="177" xfId="107" applyFont="1" applyFill="1" applyBorder="1" applyAlignment="1">
      <alignment horizontal="center" vertical="center" textRotation="90" wrapText="1"/>
      <protection/>
    </xf>
    <xf numFmtId="0" fontId="3" fillId="47" borderId="39" xfId="107" applyFont="1" applyFill="1" applyBorder="1" applyAlignment="1">
      <alignment horizontal="center" vertical="center"/>
      <protection/>
    </xf>
    <xf numFmtId="0" fontId="3" fillId="47" borderId="177" xfId="107" applyFont="1" applyFill="1" applyBorder="1" applyAlignment="1">
      <alignment horizontal="center" vertical="center"/>
      <protection/>
    </xf>
    <xf numFmtId="0" fontId="6" fillId="47" borderId="19" xfId="107" applyFont="1" applyFill="1" applyBorder="1" applyAlignment="1">
      <alignment horizontal="center"/>
      <protection/>
    </xf>
    <xf numFmtId="0" fontId="43" fillId="47" borderId="69" xfId="101" applyFont="1" applyFill="1" applyBorder="1" applyAlignment="1">
      <alignment horizontal="left"/>
      <protection/>
    </xf>
    <xf numFmtId="0" fontId="43" fillId="47" borderId="70" xfId="101" applyFont="1" applyFill="1" applyBorder="1" applyAlignment="1">
      <alignment horizontal="left"/>
      <protection/>
    </xf>
    <xf numFmtId="0" fontId="8" fillId="47" borderId="98" xfId="107" applyFont="1" applyFill="1" applyBorder="1" applyAlignment="1">
      <alignment horizontal="center" vertical="center" wrapText="1"/>
      <protection/>
    </xf>
    <xf numFmtId="0" fontId="43" fillId="47" borderId="206" xfId="101" applyFont="1" applyFill="1" applyBorder="1" applyAlignment="1">
      <alignment horizontal="center" textRotation="90"/>
      <protection/>
    </xf>
    <xf numFmtId="0" fontId="43" fillId="47" borderId="207" xfId="101" applyFont="1" applyFill="1" applyBorder="1" applyAlignment="1">
      <alignment horizontal="center" textRotation="90"/>
      <protection/>
    </xf>
    <xf numFmtId="0" fontId="28" fillId="47" borderId="45" xfId="107" applyFont="1" applyFill="1" applyBorder="1" applyAlignment="1">
      <alignment horizontal="right" vertical="center"/>
      <protection/>
    </xf>
    <xf numFmtId="0" fontId="28" fillId="47" borderId="85" xfId="107" applyFont="1" applyFill="1" applyBorder="1" applyAlignment="1">
      <alignment horizontal="right" vertical="center"/>
      <protection/>
    </xf>
    <xf numFmtId="0" fontId="7" fillId="47" borderId="208" xfId="107" applyFont="1" applyFill="1" applyBorder="1" applyAlignment="1">
      <alignment horizontal="center" vertical="center" wrapText="1"/>
      <protection/>
    </xf>
    <xf numFmtId="0" fontId="7" fillId="47" borderId="147" xfId="107" applyFont="1" applyFill="1" applyBorder="1" applyAlignment="1">
      <alignment horizontal="center" vertical="center" wrapText="1"/>
      <protection/>
    </xf>
    <xf numFmtId="0" fontId="11" fillId="47" borderId="97" xfId="107" applyFont="1" applyFill="1" applyBorder="1" applyAlignment="1">
      <alignment horizontal="center" vertical="center" wrapText="1"/>
      <protection/>
    </xf>
    <xf numFmtId="0" fontId="8" fillId="47" borderId="209" xfId="107" applyFont="1" applyFill="1" applyBorder="1" applyAlignment="1">
      <alignment horizontal="center" vertical="center" wrapText="1"/>
      <protection/>
    </xf>
    <xf numFmtId="0" fontId="7" fillId="47" borderId="0" xfId="101" applyFont="1" applyFill="1" applyBorder="1" applyAlignment="1">
      <alignment horizontal="center"/>
      <protection/>
    </xf>
    <xf numFmtId="0" fontId="7" fillId="47" borderId="80" xfId="101" applyFont="1" applyFill="1" applyBorder="1" applyAlignment="1">
      <alignment horizontal="center"/>
      <protection/>
    </xf>
    <xf numFmtId="0" fontId="10" fillId="47" borderId="206" xfId="107" applyFont="1" applyFill="1" applyBorder="1" applyAlignment="1">
      <alignment horizontal="center" vertical="center" textRotation="90"/>
      <protection/>
    </xf>
    <xf numFmtId="0" fontId="10" fillId="47" borderId="207" xfId="107" applyFont="1" applyFill="1" applyBorder="1" applyAlignment="1">
      <alignment horizontal="center" vertical="center" textRotation="90"/>
      <protection/>
    </xf>
    <xf numFmtId="0" fontId="10" fillId="47" borderId="206" xfId="107" applyFont="1" applyFill="1" applyBorder="1" applyAlignment="1">
      <alignment horizontal="center" vertical="center" textRotation="90" wrapText="1"/>
      <protection/>
    </xf>
    <xf numFmtId="0" fontId="10" fillId="47" borderId="207" xfId="107" applyFont="1" applyFill="1" applyBorder="1" applyAlignment="1">
      <alignment horizontal="center" vertical="center" textRotation="90" wrapText="1"/>
      <protection/>
    </xf>
    <xf numFmtId="0" fontId="7" fillId="47" borderId="133" xfId="107" applyFont="1" applyFill="1" applyBorder="1" applyAlignment="1">
      <alignment horizontal="center" vertical="center" wrapText="1"/>
      <protection/>
    </xf>
    <xf numFmtId="0" fontId="7" fillId="47" borderId="19" xfId="107" applyFont="1" applyFill="1" applyBorder="1" applyAlignment="1">
      <alignment horizontal="center" vertical="center" wrapText="1"/>
      <protection/>
    </xf>
    <xf numFmtId="49" fontId="6" fillId="47" borderId="45" xfId="107" applyNumberFormat="1" applyFont="1" applyFill="1" applyBorder="1" applyAlignment="1">
      <alignment horizontal="center" vertical="center"/>
      <protection/>
    </xf>
    <xf numFmtId="49" fontId="6" fillId="47" borderId="196" xfId="107" applyNumberFormat="1" applyFont="1" applyFill="1" applyBorder="1" applyAlignment="1" quotePrefix="1">
      <alignment horizontal="center" vertical="center"/>
      <protection/>
    </xf>
    <xf numFmtId="0" fontId="3" fillId="47" borderId="80" xfId="107" applyFont="1" applyFill="1" applyBorder="1" applyAlignment="1">
      <alignment horizontal="center" vertical="center"/>
      <protection/>
    </xf>
    <xf numFmtId="0" fontId="28" fillId="47" borderId="97" xfId="107" applyFont="1" applyFill="1" applyBorder="1" applyAlignment="1">
      <alignment horizontal="right" vertical="center"/>
      <protection/>
    </xf>
    <xf numFmtId="0" fontId="28" fillId="47" borderId="193" xfId="107" applyFont="1" applyFill="1" applyBorder="1" applyAlignment="1">
      <alignment horizontal="right" vertical="center"/>
      <protection/>
    </xf>
    <xf numFmtId="0" fontId="28" fillId="47" borderId="98" xfId="107" applyFont="1" applyFill="1" applyBorder="1" applyAlignment="1">
      <alignment horizontal="right" vertical="center"/>
      <protection/>
    </xf>
    <xf numFmtId="0" fontId="11" fillId="47" borderId="116" xfId="101" applyFont="1" applyFill="1" applyBorder="1" applyAlignment="1">
      <alignment horizontal="center" vertical="center" wrapText="1"/>
      <protection/>
    </xf>
    <xf numFmtId="0" fontId="11" fillId="47" borderId="128" xfId="101" applyFont="1" applyFill="1" applyBorder="1" applyAlignment="1">
      <alignment horizontal="center" vertical="center" wrapText="1"/>
      <protection/>
    </xf>
    <xf numFmtId="0" fontId="11" fillId="47" borderId="62" xfId="101" applyFont="1" applyFill="1" applyBorder="1" applyAlignment="1">
      <alignment horizontal="center" vertical="center" wrapText="1"/>
      <protection/>
    </xf>
    <xf numFmtId="0" fontId="43" fillId="47" borderId="206" xfId="101" applyFont="1" applyFill="1" applyBorder="1" applyAlignment="1">
      <alignment horizontal="center" vertical="center"/>
      <protection/>
    </xf>
    <xf numFmtId="0" fontId="43" fillId="47" borderId="207" xfId="101" applyFont="1" applyFill="1" applyBorder="1" applyAlignment="1">
      <alignment horizontal="center" vertical="center"/>
      <protection/>
    </xf>
    <xf numFmtId="0" fontId="6" fillId="47" borderId="0" xfId="107" applyFont="1" applyFill="1" applyBorder="1" applyAlignment="1">
      <alignment horizontal="center"/>
      <protection/>
    </xf>
    <xf numFmtId="0" fontId="43" fillId="47" borderId="210" xfId="101" applyFont="1" applyFill="1" applyBorder="1" applyAlignment="1">
      <alignment horizontal="center" vertical="center" wrapText="1"/>
      <protection/>
    </xf>
    <xf numFmtId="0" fontId="43" fillId="47" borderId="211" xfId="101" applyFont="1" applyFill="1" applyBorder="1" applyAlignment="1">
      <alignment horizontal="center" vertical="center" wrapText="1"/>
      <protection/>
    </xf>
    <xf numFmtId="0" fontId="43" fillId="47" borderId="19" xfId="101" applyFont="1" applyFill="1" applyBorder="1" applyAlignment="1">
      <alignment horizontal="center" vertical="center" wrapText="1"/>
      <protection/>
    </xf>
    <xf numFmtId="0" fontId="4" fillId="0" borderId="0" xfId="107" applyFont="1" applyFill="1" applyBorder="1" applyAlignment="1">
      <alignment horizontal="center" vertical="center" wrapText="1"/>
      <protection/>
    </xf>
    <xf numFmtId="0" fontId="8" fillId="0" borderId="19" xfId="107" applyFont="1" applyFill="1" applyBorder="1" applyAlignment="1">
      <alignment horizontal="center" vertical="center" textRotation="90" wrapText="1"/>
      <protection/>
    </xf>
    <xf numFmtId="0" fontId="6" fillId="0" borderId="19" xfId="107" applyFont="1" applyFill="1" applyBorder="1" applyAlignment="1">
      <alignment horizontal="center" vertical="center"/>
      <protection/>
    </xf>
    <xf numFmtId="0" fontId="6" fillId="0" borderId="19" xfId="107" applyFont="1" applyFill="1" applyBorder="1" applyAlignment="1">
      <alignment horizontal="center" vertical="center" wrapText="1"/>
      <protection/>
    </xf>
    <xf numFmtId="0" fontId="51" fillId="0" borderId="116" xfId="107" applyFont="1" applyFill="1" applyBorder="1" applyAlignment="1">
      <alignment horizontal="center" vertical="center" wrapText="1"/>
      <protection/>
    </xf>
    <xf numFmtId="0" fontId="51" fillId="0" borderId="62" xfId="107" applyFont="1" applyFill="1" applyBorder="1" applyAlignment="1">
      <alignment horizontal="center" vertical="center" wrapText="1"/>
      <protection/>
    </xf>
    <xf numFmtId="0" fontId="10" fillId="0" borderId="116" xfId="107" applyFont="1" applyFill="1" applyBorder="1" applyAlignment="1">
      <alignment horizontal="center" vertical="center" wrapText="1"/>
      <protection/>
    </xf>
    <xf numFmtId="0" fontId="10" fillId="0" borderId="62" xfId="107" applyFont="1" applyFill="1" applyBorder="1" applyAlignment="1">
      <alignment horizontal="center" vertical="center" wrapText="1"/>
      <protection/>
    </xf>
    <xf numFmtId="0" fontId="4" fillId="0" borderId="0" xfId="107" applyFont="1" applyFill="1" applyBorder="1" applyAlignment="1">
      <alignment horizontal="left" vertical="center"/>
      <protection/>
    </xf>
    <xf numFmtId="0" fontId="6" fillId="0" borderId="0" xfId="107" applyFont="1" applyFill="1" applyBorder="1" applyAlignment="1">
      <alignment horizontal="center"/>
      <protection/>
    </xf>
    <xf numFmtId="0" fontId="3" fillId="0" borderId="212" xfId="107" applyFont="1" applyFill="1" applyBorder="1" applyAlignment="1">
      <alignment horizontal="left"/>
      <protection/>
    </xf>
    <xf numFmtId="0" fontId="3" fillId="0" borderId="213" xfId="107" applyFont="1" applyFill="1" applyBorder="1" applyAlignment="1">
      <alignment horizontal="left"/>
      <protection/>
    </xf>
    <xf numFmtId="0" fontId="3" fillId="0" borderId="214" xfId="107" applyFont="1" applyFill="1" applyBorder="1" applyAlignment="1">
      <alignment horizontal="left"/>
      <protection/>
    </xf>
    <xf numFmtId="0" fontId="29" fillId="0" borderId="215" xfId="107" applyFont="1" applyFill="1" applyBorder="1" applyAlignment="1">
      <alignment horizontal="center"/>
      <protection/>
    </xf>
    <xf numFmtId="0" fontId="3" fillId="0" borderId="216" xfId="107" applyFont="1" applyFill="1" applyBorder="1" applyAlignment="1">
      <alignment horizontal="left"/>
      <protection/>
    </xf>
    <xf numFmtId="0" fontId="3" fillId="0" borderId="217" xfId="107" applyFont="1" applyFill="1" applyBorder="1" applyAlignment="1">
      <alignment horizontal="left"/>
      <protection/>
    </xf>
    <xf numFmtId="0" fontId="3" fillId="0" borderId="218" xfId="107" applyFont="1" applyFill="1" applyBorder="1" applyAlignment="1">
      <alignment horizontal="left"/>
      <protection/>
    </xf>
    <xf numFmtId="0" fontId="29" fillId="0" borderId="219" xfId="107" applyFont="1" applyFill="1" applyBorder="1" applyAlignment="1">
      <alignment horizontal="center"/>
      <protection/>
    </xf>
    <xf numFmtId="0" fontId="53" fillId="0" borderId="0" xfId="107" applyFont="1" applyFill="1" applyBorder="1" applyAlignment="1">
      <alignment horizontal="left" vertical="center"/>
      <protection/>
    </xf>
    <xf numFmtId="0" fontId="29" fillId="0" borderId="220" xfId="107" applyFont="1" applyFill="1" applyBorder="1" applyAlignment="1">
      <alignment horizontal="center" wrapText="1"/>
      <protection/>
    </xf>
    <xf numFmtId="0" fontId="29" fillId="0" borderId="221" xfId="107" applyFont="1" applyFill="1" applyBorder="1" applyAlignment="1">
      <alignment horizontal="center" wrapText="1"/>
      <protection/>
    </xf>
    <xf numFmtId="0" fontId="29" fillId="0" borderId="222" xfId="107" applyFont="1" applyFill="1" applyBorder="1" applyAlignment="1">
      <alignment horizontal="center" wrapText="1"/>
      <protection/>
    </xf>
    <xf numFmtId="0" fontId="29" fillId="0" borderId="221" xfId="107" applyFont="1" applyFill="1" applyBorder="1" applyAlignment="1">
      <alignment horizontal="center"/>
      <protection/>
    </xf>
    <xf numFmtId="0" fontId="29" fillId="0" borderId="222" xfId="107" applyFont="1" applyFill="1" applyBorder="1" applyAlignment="1">
      <alignment horizontal="center"/>
      <protection/>
    </xf>
    <xf numFmtId="0" fontId="3" fillId="0" borderId="221" xfId="107" applyFont="1" applyFill="1" applyBorder="1" applyAlignment="1">
      <alignment horizontal="center" wrapText="1"/>
      <protection/>
    </xf>
    <xf numFmtId="0" fontId="3" fillId="0" borderId="222" xfId="107" applyFont="1" applyFill="1" applyBorder="1" applyAlignment="1">
      <alignment horizontal="center" wrapText="1"/>
      <protection/>
    </xf>
    <xf numFmtId="0" fontId="8" fillId="0" borderId="61" xfId="107" applyFont="1" applyFill="1" applyBorder="1" applyAlignment="1">
      <alignment horizontal="center" vertical="center" wrapText="1"/>
      <protection/>
    </xf>
    <xf numFmtId="0" fontId="48" fillId="0" borderId="104" xfId="101" applyFont="1" applyBorder="1" applyAlignment="1">
      <alignment horizontal="left"/>
      <protection/>
    </xf>
    <xf numFmtId="0" fontId="48" fillId="0" borderId="63" xfId="101" applyFont="1" applyBorder="1" applyAlignment="1">
      <alignment horizontal="left"/>
      <protection/>
    </xf>
    <xf numFmtId="0" fontId="48" fillId="0" borderId="223" xfId="101" applyFont="1" applyBorder="1" applyAlignment="1">
      <alignment horizontal="left"/>
      <protection/>
    </xf>
    <xf numFmtId="0" fontId="48" fillId="0" borderId="224" xfId="101" applyFont="1" applyBorder="1" applyAlignment="1">
      <alignment horizontal="left"/>
      <protection/>
    </xf>
    <xf numFmtId="0" fontId="48" fillId="0" borderId="225" xfId="101" applyFont="1" applyBorder="1" applyAlignment="1">
      <alignment horizontal="left"/>
      <protection/>
    </xf>
    <xf numFmtId="0" fontId="48" fillId="0" borderId="226" xfId="101" applyFont="1" applyBorder="1" applyAlignment="1">
      <alignment horizontal="left"/>
      <protection/>
    </xf>
    <xf numFmtId="0" fontId="52" fillId="0" borderId="97" xfId="101" applyFont="1" applyBorder="1" applyAlignment="1">
      <alignment horizontal="left"/>
      <protection/>
    </xf>
    <xf numFmtId="0" fontId="52" fillId="0" borderId="193" xfId="101" applyFont="1" applyBorder="1" applyAlignment="1">
      <alignment horizontal="left"/>
      <protection/>
    </xf>
    <xf numFmtId="167" fontId="30" fillId="0" borderId="116" xfId="107" applyNumberFormat="1" applyFont="1" applyFill="1" applyBorder="1" applyAlignment="1">
      <alignment horizontal="center" vertical="center" wrapText="1"/>
      <protection/>
    </xf>
    <xf numFmtId="167" fontId="30" fillId="0" borderId="62" xfId="107" applyNumberFormat="1" applyFont="1" applyFill="1" applyBorder="1" applyAlignment="1">
      <alignment horizontal="center" vertical="center" wrapText="1"/>
      <protection/>
    </xf>
    <xf numFmtId="167" fontId="58" fillId="0" borderId="176" xfId="76" applyNumberFormat="1" applyFont="1" applyFill="1" applyBorder="1" applyAlignment="1" applyProtection="1">
      <alignment horizontal="center"/>
      <protection/>
    </xf>
    <xf numFmtId="167" fontId="58" fillId="0" borderId="61" xfId="76" applyNumberFormat="1" applyFont="1" applyFill="1" applyBorder="1" applyAlignment="1" applyProtection="1">
      <alignment horizontal="center"/>
      <protection/>
    </xf>
    <xf numFmtId="167" fontId="58" fillId="0" borderId="194" xfId="76" applyNumberFormat="1" applyFont="1" applyFill="1" applyBorder="1" applyAlignment="1" applyProtection="1">
      <alignment horizontal="center"/>
      <protection/>
    </xf>
    <xf numFmtId="167" fontId="58" fillId="0" borderId="42" xfId="76" applyNumberFormat="1" applyFont="1" applyFill="1" applyBorder="1" applyAlignment="1" applyProtection="1">
      <alignment horizontal="center"/>
      <protection/>
    </xf>
    <xf numFmtId="167" fontId="58" fillId="0" borderId="0" xfId="76" applyNumberFormat="1" applyFont="1" applyFill="1" applyBorder="1" applyAlignment="1" applyProtection="1">
      <alignment horizontal="center"/>
      <protection/>
    </xf>
    <xf numFmtId="167" fontId="58" fillId="0" borderId="164" xfId="76" applyNumberFormat="1" applyFont="1" applyFill="1" applyBorder="1" applyAlignment="1" applyProtection="1">
      <alignment horizontal="center"/>
      <protection/>
    </xf>
    <xf numFmtId="167" fontId="58" fillId="0" borderId="49" xfId="76" applyNumberFormat="1" applyFont="1" applyFill="1" applyBorder="1" applyAlignment="1" applyProtection="1">
      <alignment horizontal="center" vertical="center"/>
      <protection/>
    </xf>
    <xf numFmtId="167" fontId="58" fillId="0" borderId="62" xfId="76" applyNumberFormat="1" applyFont="1" applyFill="1" applyBorder="1" applyAlignment="1" applyProtection="1">
      <alignment horizontal="center" vertical="center"/>
      <protection/>
    </xf>
    <xf numFmtId="167" fontId="8" fillId="0" borderId="19" xfId="107" applyNumberFormat="1" applyFont="1" applyFill="1" applyBorder="1" applyAlignment="1">
      <alignment horizontal="center" vertical="center" wrapText="1"/>
      <protection/>
    </xf>
    <xf numFmtId="167" fontId="58" fillId="0" borderId="74" xfId="76" applyNumberFormat="1" applyFont="1" applyFill="1" applyBorder="1" applyAlignment="1" applyProtection="1">
      <alignment horizontal="center" vertical="center"/>
      <protection/>
    </xf>
    <xf numFmtId="167" fontId="58" fillId="0" borderId="112" xfId="76" applyNumberFormat="1" applyFont="1" applyFill="1" applyBorder="1" applyAlignment="1" applyProtection="1">
      <alignment horizontal="center"/>
      <protection/>
    </xf>
    <xf numFmtId="167" fontId="58" fillId="0" borderId="177" xfId="76" applyNumberFormat="1" applyFont="1" applyFill="1" applyBorder="1" applyAlignment="1" applyProtection="1">
      <alignment horizontal="center"/>
      <protection/>
    </xf>
    <xf numFmtId="167" fontId="58" fillId="0" borderId="147" xfId="76" applyNumberFormat="1" applyFont="1" applyFill="1" applyBorder="1" applyAlignment="1" applyProtection="1">
      <alignment horizontal="center"/>
      <protection/>
    </xf>
    <xf numFmtId="167" fontId="58" fillId="0" borderId="44" xfId="76" applyNumberFormat="1" applyFont="1" applyFill="1" applyBorder="1" applyAlignment="1" applyProtection="1">
      <alignment horizontal="center" vertical="center"/>
      <protection/>
    </xf>
    <xf numFmtId="167" fontId="58" fillId="0" borderId="227" xfId="76" applyNumberFormat="1" applyFont="1" applyFill="1" applyBorder="1" applyAlignment="1" applyProtection="1">
      <alignment horizontal="center" vertical="center"/>
      <protection/>
    </xf>
    <xf numFmtId="0" fontId="10" fillId="0" borderId="19" xfId="107" applyFont="1" applyFill="1" applyBorder="1" applyAlignment="1">
      <alignment horizontal="center" vertical="center" textRotation="90"/>
      <protection/>
    </xf>
    <xf numFmtId="0" fontId="10" fillId="0" borderId="19" xfId="107" applyFont="1" applyFill="1" applyBorder="1" applyAlignment="1">
      <alignment horizontal="center" vertical="center" wrapText="1"/>
      <protection/>
    </xf>
    <xf numFmtId="0" fontId="29" fillId="0" borderId="99" xfId="107" applyFont="1" applyFill="1" applyBorder="1" applyAlignment="1">
      <alignment horizontal="center"/>
      <protection/>
    </xf>
    <xf numFmtId="0" fontId="29" fillId="0" borderId="207" xfId="107" applyFont="1" applyFill="1" applyBorder="1" applyAlignment="1">
      <alignment horizontal="center"/>
      <protection/>
    </xf>
    <xf numFmtId="0" fontId="9" fillId="0" borderId="57" xfId="107" applyFont="1" applyFill="1" applyBorder="1" applyAlignment="1">
      <alignment horizontal="center" vertical="center"/>
      <protection/>
    </xf>
    <xf numFmtId="0" fontId="9" fillId="0" borderId="228" xfId="107" applyFont="1" applyFill="1" applyBorder="1" applyAlignment="1">
      <alignment horizontal="center" vertical="center"/>
      <protection/>
    </xf>
    <xf numFmtId="0" fontId="9" fillId="0" borderId="229" xfId="107" applyFont="1" applyFill="1" applyBorder="1" applyAlignment="1">
      <alignment horizontal="center" vertical="center"/>
      <protection/>
    </xf>
    <xf numFmtId="0" fontId="9" fillId="0" borderId="130" xfId="107" applyFont="1" applyFill="1" applyBorder="1" applyAlignment="1">
      <alignment horizontal="center" vertical="center"/>
      <protection/>
    </xf>
    <xf numFmtId="167" fontId="8" fillId="0" borderId="230" xfId="107" applyNumberFormat="1" applyFont="1" applyFill="1" applyBorder="1" applyAlignment="1">
      <alignment horizontal="center" vertical="center" wrapText="1"/>
      <protection/>
    </xf>
    <xf numFmtId="167" fontId="8" fillId="0" borderId="193" xfId="107" applyNumberFormat="1" applyFont="1" applyFill="1" applyBorder="1" applyAlignment="1">
      <alignment horizontal="center" vertical="center" wrapText="1"/>
      <protection/>
    </xf>
    <xf numFmtId="167" fontId="8" fillId="0" borderId="202" xfId="107" applyNumberFormat="1" applyFont="1" applyFill="1" applyBorder="1" applyAlignment="1">
      <alignment horizontal="center" vertical="center" wrapText="1"/>
      <protection/>
    </xf>
    <xf numFmtId="167" fontId="29" fillId="0" borderId="230" xfId="107" applyNumberFormat="1" applyFont="1" applyFill="1" applyBorder="1" applyAlignment="1">
      <alignment horizontal="center" vertical="center" wrapText="1"/>
      <protection/>
    </xf>
    <xf numFmtId="167" fontId="29" fillId="0" borderId="193" xfId="107" applyNumberFormat="1" applyFont="1" applyFill="1" applyBorder="1" applyAlignment="1">
      <alignment horizontal="center" vertical="center" wrapText="1"/>
      <protection/>
    </xf>
    <xf numFmtId="167" fontId="29" fillId="0" borderId="98" xfId="107" applyNumberFormat="1" applyFont="1" applyFill="1" applyBorder="1" applyAlignment="1">
      <alignment horizontal="center" vertical="center" wrapText="1"/>
      <protection/>
    </xf>
    <xf numFmtId="0" fontId="11" fillId="0" borderId="97" xfId="96" applyFont="1" applyFill="1" applyBorder="1" applyAlignment="1">
      <alignment horizontal="center"/>
      <protection/>
    </xf>
    <xf numFmtId="0" fontId="11" fillId="0" borderId="193" xfId="96" applyFont="1" applyFill="1" applyBorder="1" applyAlignment="1">
      <alignment horizontal="center"/>
      <protection/>
    </xf>
    <xf numFmtId="0" fontId="11" fillId="0" borderId="98" xfId="96" applyFont="1" applyFill="1" applyBorder="1" applyAlignment="1">
      <alignment horizontal="center"/>
      <protection/>
    </xf>
    <xf numFmtId="0" fontId="11" fillId="0" borderId="231" xfId="96" applyFont="1" applyFill="1" applyBorder="1" applyAlignment="1">
      <alignment horizontal="center" vertical="center" textRotation="90"/>
      <protection/>
    </xf>
    <xf numFmtId="0" fontId="11" fillId="0" borderId="232" xfId="96" applyFont="1" applyFill="1" applyBorder="1" applyAlignment="1">
      <alignment horizontal="center" vertical="center" textRotation="90"/>
      <protection/>
    </xf>
    <xf numFmtId="0" fontId="11" fillId="0" borderId="233" xfId="96" applyFont="1" applyFill="1" applyBorder="1" applyAlignment="1">
      <alignment horizontal="center" vertical="center" textRotation="90"/>
      <protection/>
    </xf>
    <xf numFmtId="0" fontId="11" fillId="0" borderId="234" xfId="96" applyFont="1" applyFill="1" applyBorder="1" applyAlignment="1">
      <alignment horizontal="center" vertical="center" textRotation="90"/>
      <protection/>
    </xf>
    <xf numFmtId="0" fontId="11" fillId="0" borderId="235" xfId="96" applyFont="1" applyFill="1" applyBorder="1" applyAlignment="1">
      <alignment horizontal="center" vertical="center" textRotation="90"/>
      <protection/>
    </xf>
    <xf numFmtId="0" fontId="11" fillId="0" borderId="236" xfId="96" applyFont="1" applyFill="1" applyBorder="1" applyAlignment="1">
      <alignment horizontal="center" vertical="center" textRotation="90"/>
      <protection/>
    </xf>
    <xf numFmtId="0" fontId="11" fillId="0" borderId="234" xfId="96" applyFont="1" applyFill="1" applyBorder="1" applyAlignment="1">
      <alignment horizontal="center" vertical="center" textRotation="90" wrapText="1"/>
      <protection/>
    </xf>
    <xf numFmtId="0" fontId="11" fillId="0" borderId="235" xfId="96" applyFont="1" applyFill="1" applyBorder="1" applyAlignment="1">
      <alignment horizontal="center" vertical="center" textRotation="90" wrapText="1"/>
      <protection/>
    </xf>
    <xf numFmtId="0" fontId="11" fillId="0" borderId="236" xfId="96" applyFont="1" applyFill="1" applyBorder="1" applyAlignment="1">
      <alignment horizontal="center" vertical="center" textRotation="90" wrapText="1"/>
      <protection/>
    </xf>
    <xf numFmtId="0" fontId="8" fillId="0" borderId="237" xfId="96" applyFont="1" applyFill="1" applyBorder="1" applyAlignment="1">
      <alignment horizontal="center" vertical="center"/>
      <protection/>
    </xf>
    <xf numFmtId="0" fontId="8" fillId="0" borderId="153" xfId="96" applyFont="1" applyFill="1" applyBorder="1" applyAlignment="1">
      <alignment horizontal="center" vertical="center"/>
      <protection/>
    </xf>
    <xf numFmtId="0" fontId="8" fillId="0" borderId="238" xfId="96" applyFont="1" applyFill="1" applyBorder="1" applyAlignment="1">
      <alignment horizontal="center" vertical="center"/>
      <protection/>
    </xf>
    <xf numFmtId="49" fontId="7" fillId="0" borderId="70" xfId="96" applyNumberFormat="1" applyFont="1" applyFill="1" applyBorder="1" applyAlignment="1">
      <alignment horizontal="center" vertical="center"/>
      <protection/>
    </xf>
    <xf numFmtId="49" fontId="7" fillId="0" borderId="65" xfId="96" applyNumberFormat="1" applyFont="1" applyFill="1" applyBorder="1" applyAlignment="1">
      <alignment horizontal="center" vertical="center"/>
      <protection/>
    </xf>
    <xf numFmtId="49" fontId="7" fillId="0" borderId="72" xfId="96" applyNumberFormat="1" applyFont="1" applyFill="1" applyBorder="1" applyAlignment="1">
      <alignment horizontal="center" vertical="center"/>
      <protection/>
    </xf>
    <xf numFmtId="0" fontId="10" fillId="0" borderId="19" xfId="96" applyFont="1" applyFill="1" applyBorder="1" applyAlignment="1">
      <alignment horizontal="center" vertical="center" wrapText="1"/>
      <protection/>
    </xf>
    <xf numFmtId="0" fontId="8" fillId="0" borderId="19" xfId="96" applyFont="1" applyFill="1" applyBorder="1" applyAlignment="1">
      <alignment horizontal="center" vertical="center" wrapText="1"/>
      <protection/>
    </xf>
    <xf numFmtId="0" fontId="3" fillId="0" borderId="0" xfId="109" applyFont="1" applyFill="1" applyAlignment="1">
      <alignment horizontal="center"/>
      <protection/>
    </xf>
    <xf numFmtId="0" fontId="6" fillId="0" borderId="0" xfId="96" applyFont="1" applyFill="1" applyBorder="1" applyAlignment="1">
      <alignment horizontal="center" wrapText="1"/>
      <protection/>
    </xf>
    <xf numFmtId="0" fontId="8" fillId="0" borderId="0" xfId="109" applyFont="1" applyFill="1" applyBorder="1" applyAlignment="1">
      <alignment horizontal="center" wrapText="1"/>
      <protection/>
    </xf>
    <xf numFmtId="167" fontId="30" fillId="0" borderId="128" xfId="107" applyNumberFormat="1" applyFont="1" applyFill="1" applyBorder="1" applyAlignment="1">
      <alignment horizontal="center" vertical="center" wrapText="1"/>
      <protection/>
    </xf>
    <xf numFmtId="0" fontId="7" fillId="47" borderId="97" xfId="107" applyFont="1" applyFill="1" applyBorder="1" applyAlignment="1">
      <alignment horizontal="center" vertical="center" wrapText="1"/>
      <protection/>
    </xf>
    <xf numFmtId="0" fontId="7" fillId="47" borderId="193" xfId="107" applyFont="1" applyFill="1" applyBorder="1" applyAlignment="1">
      <alignment horizontal="center" vertical="center" wrapText="1"/>
      <protection/>
    </xf>
    <xf numFmtId="0" fontId="7" fillId="47" borderId="98" xfId="107" applyFont="1" applyFill="1" applyBorder="1" applyAlignment="1">
      <alignment horizontal="center" vertical="center" wrapText="1"/>
      <protection/>
    </xf>
    <xf numFmtId="0" fontId="35" fillId="47" borderId="97" xfId="107" applyFont="1" applyFill="1" applyBorder="1" applyAlignment="1">
      <alignment horizontal="center" vertical="center" wrapText="1"/>
      <protection/>
    </xf>
    <xf numFmtId="0" fontId="35" fillId="47" borderId="193" xfId="107" applyFont="1" applyFill="1" applyBorder="1" applyAlignment="1">
      <alignment horizontal="center" vertical="center" wrapText="1"/>
      <protection/>
    </xf>
    <xf numFmtId="0" fontId="34" fillId="47" borderId="116" xfId="107" applyFont="1" applyFill="1" applyBorder="1" applyAlignment="1">
      <alignment horizontal="center" vertical="center" wrapText="1"/>
      <protection/>
    </xf>
    <xf numFmtId="0" fontId="34" fillId="47" borderId="128" xfId="107" applyFont="1" applyFill="1" applyBorder="1" applyAlignment="1">
      <alignment horizontal="center" vertical="center" wrapText="1"/>
      <protection/>
    </xf>
    <xf numFmtId="0" fontId="34" fillId="47" borderId="62" xfId="107" applyFont="1" applyFill="1" applyBorder="1" applyAlignment="1">
      <alignment horizontal="center" vertical="center" wrapText="1"/>
      <protection/>
    </xf>
    <xf numFmtId="0" fontId="34" fillId="47" borderId="19" xfId="107" applyFont="1" applyFill="1" applyBorder="1" applyAlignment="1">
      <alignment horizontal="center" vertical="center" textRotation="90" wrapText="1"/>
      <protection/>
    </xf>
    <xf numFmtId="0" fontId="34" fillId="47" borderId="116" xfId="108" applyFont="1" applyFill="1" applyBorder="1" applyAlignment="1">
      <alignment horizontal="center" vertical="center" textRotation="90" wrapText="1"/>
      <protection/>
    </xf>
    <xf numFmtId="0" fontId="34" fillId="47" borderId="128" xfId="108" applyFont="1" applyFill="1" applyBorder="1" applyAlignment="1">
      <alignment horizontal="center" vertical="center" textRotation="90" wrapText="1"/>
      <protection/>
    </xf>
    <xf numFmtId="0" fontId="34" fillId="47" borderId="62" xfId="108" applyFont="1" applyFill="1" applyBorder="1" applyAlignment="1">
      <alignment horizontal="center" vertical="center" textRotation="90" wrapText="1"/>
      <protection/>
    </xf>
    <xf numFmtId="0" fontId="35" fillId="47" borderId="176" xfId="107" applyFont="1" applyFill="1" applyBorder="1" applyAlignment="1">
      <alignment horizontal="center" vertical="center" wrapText="1"/>
      <protection/>
    </xf>
    <xf numFmtId="0" fontId="35" fillId="47" borderId="61" xfId="107" applyFont="1" applyFill="1" applyBorder="1" applyAlignment="1">
      <alignment horizontal="center" vertical="center" wrapText="1"/>
      <protection/>
    </xf>
    <xf numFmtId="0" fontId="35" fillId="47" borderId="194" xfId="107" applyFont="1" applyFill="1" applyBorder="1" applyAlignment="1">
      <alignment horizontal="center" vertical="center" wrapText="1"/>
      <protection/>
    </xf>
    <xf numFmtId="0" fontId="35" fillId="47" borderId="112" xfId="107" applyFont="1" applyFill="1" applyBorder="1" applyAlignment="1">
      <alignment horizontal="center" vertical="center" wrapText="1"/>
      <protection/>
    </xf>
    <xf numFmtId="0" fontId="35" fillId="47" borderId="177" xfId="107" applyFont="1" applyFill="1" applyBorder="1" applyAlignment="1">
      <alignment horizontal="center" vertical="center" wrapText="1"/>
      <protection/>
    </xf>
    <xf numFmtId="0" fontId="35" fillId="47" borderId="147" xfId="107" applyFont="1" applyFill="1" applyBorder="1" applyAlignment="1">
      <alignment horizontal="center" vertical="center" wrapText="1"/>
      <protection/>
    </xf>
    <xf numFmtId="0" fontId="35" fillId="47" borderId="19" xfId="107" applyFont="1" applyFill="1" applyBorder="1" applyAlignment="1">
      <alignment horizontal="center" vertical="center" wrapText="1"/>
      <protection/>
    </xf>
    <xf numFmtId="0" fontId="36" fillId="47" borderId="116" xfId="107" applyFont="1" applyFill="1" applyBorder="1" applyAlignment="1">
      <alignment horizontal="center" vertical="center"/>
      <protection/>
    </xf>
    <xf numFmtId="0" fontId="36" fillId="47" borderId="128" xfId="107" applyFont="1" applyFill="1" applyBorder="1" applyAlignment="1">
      <alignment horizontal="center" vertical="center"/>
      <protection/>
    </xf>
    <xf numFmtId="0" fontId="36" fillId="47" borderId="62" xfId="107" applyFont="1" applyFill="1" applyBorder="1" applyAlignment="1">
      <alignment horizontal="center" vertical="center"/>
      <protection/>
    </xf>
    <xf numFmtId="0" fontId="11" fillId="47" borderId="176" xfId="107" applyFont="1" applyFill="1" applyBorder="1" applyAlignment="1">
      <alignment horizontal="center" vertical="center" wrapText="1"/>
      <protection/>
    </xf>
    <xf numFmtId="0" fontId="11" fillId="47" borderId="61" xfId="107" applyFont="1" applyFill="1" applyBorder="1" applyAlignment="1">
      <alignment horizontal="center" vertical="center" wrapText="1"/>
      <protection/>
    </xf>
    <xf numFmtId="0" fontId="11" fillId="47" borderId="194" xfId="107" applyFont="1" applyFill="1" applyBorder="1" applyAlignment="1">
      <alignment horizontal="center" vertical="center" wrapText="1"/>
      <protection/>
    </xf>
    <xf numFmtId="0" fontId="11" fillId="47" borderId="112" xfId="107" applyFont="1" applyFill="1" applyBorder="1" applyAlignment="1">
      <alignment horizontal="center" vertical="center" wrapText="1"/>
      <protection/>
    </xf>
    <xf numFmtId="0" fontId="11" fillId="47" borderId="177" xfId="107" applyFont="1" applyFill="1" applyBorder="1" applyAlignment="1">
      <alignment horizontal="center" vertical="center" wrapText="1"/>
      <protection/>
    </xf>
    <xf numFmtId="0" fontId="11" fillId="47" borderId="147" xfId="107" applyFont="1" applyFill="1" applyBorder="1" applyAlignment="1">
      <alignment horizontal="center" vertical="center" wrapText="1"/>
      <protection/>
    </xf>
    <xf numFmtId="0" fontId="31" fillId="47" borderId="176" xfId="101" applyFont="1" applyFill="1" applyBorder="1" applyAlignment="1">
      <alignment horizontal="center"/>
      <protection/>
    </xf>
    <xf numFmtId="0" fontId="31" fillId="47" borderId="61" xfId="101" applyFont="1" applyFill="1" applyBorder="1" applyAlignment="1">
      <alignment horizontal="center"/>
      <protection/>
    </xf>
    <xf numFmtId="0" fontId="31" fillId="47" borderId="194" xfId="101" applyFont="1" applyFill="1" applyBorder="1" applyAlignment="1">
      <alignment horizontal="center"/>
      <protection/>
    </xf>
    <xf numFmtId="0" fontId="32" fillId="47" borderId="102" xfId="101" applyFont="1" applyFill="1" applyBorder="1" applyAlignment="1">
      <alignment horizontal="center"/>
      <protection/>
    </xf>
    <xf numFmtId="0" fontId="32" fillId="47" borderId="67" xfId="101" applyFont="1" applyFill="1" applyBorder="1" applyAlignment="1">
      <alignment horizontal="center"/>
      <protection/>
    </xf>
    <xf numFmtId="0" fontId="34" fillId="47" borderId="97" xfId="107" applyFont="1" applyFill="1" applyBorder="1" applyAlignment="1">
      <alignment horizontal="center" vertical="center" wrapText="1"/>
      <protection/>
    </xf>
    <xf numFmtId="0" fontId="34" fillId="47" borderId="193" xfId="107" applyFont="1" applyFill="1" applyBorder="1" applyAlignment="1">
      <alignment horizontal="center" vertical="center" wrapText="1"/>
      <protection/>
    </xf>
    <xf numFmtId="0" fontId="34" fillId="47" borderId="98" xfId="107" applyFont="1" applyFill="1" applyBorder="1" applyAlignment="1">
      <alignment horizontal="center" vertical="center" wrapText="1"/>
      <protection/>
    </xf>
    <xf numFmtId="0" fontId="34" fillId="47" borderId="19" xfId="108" applyFont="1" applyFill="1" applyBorder="1" applyAlignment="1">
      <alignment horizontal="center" vertical="center" textRotation="90" wrapText="1"/>
      <protection/>
    </xf>
    <xf numFmtId="0" fontId="34" fillId="47" borderId="19" xfId="107" applyFont="1" applyFill="1" applyBorder="1" applyAlignment="1">
      <alignment horizontal="center" vertical="center"/>
      <protection/>
    </xf>
    <xf numFmtId="0" fontId="31" fillId="47" borderId="0" xfId="101" applyFont="1" applyFill="1" applyAlignment="1">
      <alignment horizontal="left"/>
      <protection/>
    </xf>
    <xf numFmtId="0" fontId="52" fillId="47" borderId="0" xfId="101" applyFont="1" applyFill="1" applyAlignment="1">
      <alignment horizontal="center"/>
      <protection/>
    </xf>
    <xf numFmtId="0" fontId="31" fillId="47" borderId="0" xfId="101" applyFont="1" applyFill="1" applyAlignment="1">
      <alignment horizontal="center"/>
      <protection/>
    </xf>
    <xf numFmtId="0" fontId="33" fillId="47" borderId="177" xfId="101" applyFont="1" applyFill="1" applyBorder="1" applyAlignment="1">
      <alignment horizontal="center"/>
      <protection/>
    </xf>
    <xf numFmtId="0" fontId="36" fillId="47" borderId="128" xfId="107" applyFont="1" applyFill="1" applyBorder="1" applyAlignment="1">
      <alignment horizontal="center" vertical="center" wrapText="1"/>
      <protection/>
    </xf>
    <xf numFmtId="0" fontId="7" fillId="47" borderId="19" xfId="107" applyFont="1" applyFill="1" applyBorder="1" applyAlignment="1">
      <alignment horizontal="center" vertical="center"/>
      <protection/>
    </xf>
    <xf numFmtId="0" fontId="37" fillId="47" borderId="116" xfId="107" applyFont="1" applyFill="1" applyBorder="1" applyAlignment="1">
      <alignment horizontal="center" vertical="center" wrapText="1"/>
      <protection/>
    </xf>
    <xf numFmtId="0" fontId="37" fillId="47" borderId="128" xfId="107" applyFont="1" applyFill="1" applyBorder="1" applyAlignment="1">
      <alignment horizontal="center" vertical="center" wrapText="1"/>
      <protection/>
    </xf>
    <xf numFmtId="0" fontId="37" fillId="47" borderId="62" xfId="10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9" fillId="0" borderId="64" xfId="98" applyFont="1" applyBorder="1" applyAlignment="1">
      <alignment horizontal="center" wrapText="1"/>
      <protection/>
    </xf>
    <xf numFmtId="0" fontId="39" fillId="0" borderId="65" xfId="98" applyFont="1" applyBorder="1" applyAlignment="1">
      <alignment horizontal="center" wrapText="1"/>
      <protection/>
    </xf>
    <xf numFmtId="5" fontId="56" fillId="48" borderId="65" xfId="98" applyNumberFormat="1" applyFont="1" applyFill="1" applyBorder="1" applyAlignment="1">
      <alignment horizontal="right" vertical="center" wrapText="1"/>
      <protection/>
    </xf>
    <xf numFmtId="5" fontId="34" fillId="0" borderId="44" xfId="0" applyNumberFormat="1" applyFont="1" applyBorder="1" applyAlignment="1">
      <alignment horizontal="right" vertical="center"/>
    </xf>
    <xf numFmtId="5" fontId="34" fillId="0" borderId="227" xfId="0" applyNumberFormat="1" applyFont="1" applyBorder="1" applyAlignment="1">
      <alignment horizontal="right" vertical="center"/>
    </xf>
    <xf numFmtId="172" fontId="31" fillId="0" borderId="65" xfId="77" applyNumberFormat="1" applyFont="1" applyBorder="1" applyAlignment="1">
      <alignment horizontal="right"/>
    </xf>
    <xf numFmtId="172" fontId="36" fillId="0" borderId="65" xfId="0" applyNumberFormat="1" applyFont="1" applyBorder="1" applyAlignment="1">
      <alignment horizontal="right"/>
    </xf>
    <xf numFmtId="0" fontId="61" fillId="0" borderId="64" xfId="98" applyFont="1" applyBorder="1" applyAlignment="1">
      <alignment horizontal="left"/>
      <protection/>
    </xf>
    <xf numFmtId="0" fontId="61" fillId="0" borderId="65" xfId="98" applyFont="1" applyBorder="1" applyAlignment="1">
      <alignment horizontal="left"/>
      <protection/>
    </xf>
    <xf numFmtId="5" fontId="61" fillId="48" borderId="65" xfId="98" applyNumberFormat="1" applyFont="1" applyFill="1" applyBorder="1" applyAlignment="1">
      <alignment/>
      <protection/>
    </xf>
    <xf numFmtId="0" fontId="31" fillId="0" borderId="65" xfId="98" applyFont="1" applyBorder="1" applyAlignment="1">
      <alignment horizontal="left"/>
      <protection/>
    </xf>
    <xf numFmtId="5" fontId="61" fillId="48" borderId="65" xfId="98" applyNumberFormat="1" applyFont="1" applyFill="1" applyBorder="1" applyAlignment="1">
      <alignment horizontal="right"/>
      <protection/>
    </xf>
    <xf numFmtId="172" fontId="35" fillId="0" borderId="44" xfId="0" applyNumberFormat="1" applyFont="1" applyBorder="1" applyAlignment="1">
      <alignment horizontal="right" vertical="center"/>
    </xf>
    <xf numFmtId="172" fontId="35" fillId="0" borderId="227" xfId="0" applyNumberFormat="1" applyFont="1" applyBorder="1" applyAlignment="1">
      <alignment horizontal="right" vertical="center"/>
    </xf>
    <xf numFmtId="5" fontId="31" fillId="48" borderId="65" xfId="77" applyNumberFormat="1" applyFont="1" applyFill="1" applyBorder="1" applyAlignment="1">
      <alignment horizontal="right"/>
    </xf>
    <xf numFmtId="5" fontId="32" fillId="0" borderId="65" xfId="77" applyNumberFormat="1" applyFont="1" applyBorder="1" applyAlignment="1">
      <alignment horizontal="right"/>
    </xf>
    <xf numFmtId="172" fontId="61" fillId="0" borderId="65" xfId="98" applyNumberFormat="1" applyFont="1" applyFill="1" applyBorder="1" applyAlignment="1">
      <alignment horizontal="right"/>
      <protection/>
    </xf>
    <xf numFmtId="172" fontId="61" fillId="0" borderId="65" xfId="98" applyNumberFormat="1" applyFont="1" applyBorder="1" applyAlignment="1">
      <alignment horizontal="right"/>
      <protection/>
    </xf>
    <xf numFmtId="5" fontId="61" fillId="0" borderId="65" xfId="77" applyNumberFormat="1" applyFont="1" applyBorder="1" applyAlignment="1">
      <alignment horizontal="right"/>
    </xf>
    <xf numFmtId="172" fontId="81" fillId="0" borderId="65" xfId="98" applyNumberFormat="1" applyFont="1" applyFill="1" applyBorder="1" applyAlignment="1">
      <alignment horizontal="right"/>
      <protection/>
    </xf>
    <xf numFmtId="0" fontId="80" fillId="0" borderId="72" xfId="98" applyFont="1" applyBorder="1" applyAlignment="1">
      <alignment horizontal="center"/>
      <protection/>
    </xf>
    <xf numFmtId="0" fontId="56" fillId="0" borderId="179" xfId="98" applyFont="1" applyBorder="1" applyAlignment="1">
      <alignment horizontal="center"/>
      <protection/>
    </xf>
    <xf numFmtId="0" fontId="56" fillId="0" borderId="101" xfId="98" applyFont="1" applyBorder="1" applyAlignment="1">
      <alignment horizontal="center"/>
      <protection/>
    </xf>
    <xf numFmtId="172" fontId="56" fillId="0" borderId="101" xfId="116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9" fillId="0" borderId="71" xfId="98" applyFont="1" applyBorder="1" applyAlignment="1">
      <alignment horizontal="center" wrapText="1"/>
      <protection/>
    </xf>
    <xf numFmtId="0" fontId="39" fillId="0" borderId="72" xfId="98" applyFont="1" applyBorder="1" applyAlignment="1">
      <alignment horizontal="center" wrapText="1"/>
      <protection/>
    </xf>
    <xf numFmtId="0" fontId="31" fillId="0" borderId="179" xfId="98" applyFont="1" applyBorder="1" applyAlignment="1">
      <alignment horizontal="center"/>
      <protection/>
    </xf>
    <xf numFmtId="0" fontId="31" fillId="0" borderId="101" xfId="98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172" fontId="62" fillId="0" borderId="0" xfId="0" applyNumberFormat="1" applyFont="1" applyAlignment="1">
      <alignment horizontal="right"/>
    </xf>
    <xf numFmtId="0" fontId="62" fillId="0" borderId="0" xfId="0" applyFont="1" applyAlignment="1">
      <alignment horizontal="right"/>
    </xf>
    <xf numFmtId="3" fontId="11" fillId="0" borderId="0" xfId="96" applyNumberFormat="1" applyFont="1" applyFill="1">
      <alignment/>
      <protection/>
    </xf>
  </cellXfs>
  <cellStyles count="11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2 2" xfId="77"/>
    <cellStyle name="Ezres 3" xfId="78"/>
    <cellStyle name="Ezres 4" xfId="79"/>
    <cellStyle name="Ezres 5" xfId="80"/>
    <cellStyle name="Ezres 6" xfId="81"/>
    <cellStyle name="Figyelmeztetés" xfId="82"/>
    <cellStyle name="Good" xfId="83"/>
    <cellStyle name="Heading 1" xfId="84"/>
    <cellStyle name="Heading 2" xfId="85"/>
    <cellStyle name="Heading 3" xfId="86"/>
    <cellStyle name="Heading 4" xfId="87"/>
    <cellStyle name="Hivatkozott cella" xfId="88"/>
    <cellStyle name="Input" xfId="89"/>
    <cellStyle name="Jegyzet" xfId="90"/>
    <cellStyle name="Jó" xfId="91"/>
    <cellStyle name="Kimenet" xfId="92"/>
    <cellStyle name="Linked Cell" xfId="93"/>
    <cellStyle name="Magyarázó szöveg" xfId="94"/>
    <cellStyle name="Neutral" xfId="95"/>
    <cellStyle name="Normál 2" xfId="96"/>
    <cellStyle name="Normál 2 2" xfId="97"/>
    <cellStyle name="Normál 2 3" xfId="98"/>
    <cellStyle name="Normál 2_4.4.5 utca Könyvvizsgálói tábla" xfId="99"/>
    <cellStyle name="Normál 3" xfId="100"/>
    <cellStyle name="Normál 4" xfId="101"/>
    <cellStyle name="Normál 5" xfId="102"/>
    <cellStyle name="Normál 5 2" xfId="103"/>
    <cellStyle name="Normál 5 3" xfId="104"/>
    <cellStyle name="Normál 6" xfId="105"/>
    <cellStyle name="Normál 7" xfId="106"/>
    <cellStyle name="Normál_2005.2.a-2.etábl. terv" xfId="107"/>
    <cellStyle name="Normál_2005.2.a-2.etábl. terv 2" xfId="108"/>
    <cellStyle name="Normál_2005.2.a-2.etábl. terv_előzetes 2 d kiemelt előirányzatok" xfId="109"/>
    <cellStyle name="Note" xfId="110"/>
    <cellStyle name="Output" xfId="111"/>
    <cellStyle name="Összesen" xfId="112"/>
    <cellStyle name="Currency" xfId="113"/>
    <cellStyle name="Currency [0]" xfId="114"/>
    <cellStyle name="Pénznem 2" xfId="115"/>
    <cellStyle name="Pénznem 2 2" xfId="116"/>
    <cellStyle name="Rossz" xfId="117"/>
    <cellStyle name="Semleges" xfId="118"/>
    <cellStyle name="Számítás" xfId="119"/>
    <cellStyle name="Percent" xfId="120"/>
    <cellStyle name="Százalék 2" xfId="121"/>
    <cellStyle name="Százalék 3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IVATAL\Company%20Shared%20Folders\P&#233;nz&#252;gy\2014\2014.el&#337;ir&#225;nyzat-m&#243;dos&#237;t&#225;sok\2014.%20ei%20m&#243;dos&#237;t&#225;s\szeptember\utols&#243;%20ei%20m&#243;dos&#237;t&#225;s%20kiindul&#243;\infoval%20egyeztetett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sz. Polgármesteri Hivatal"/>
      <sheetName val="22.sz. Városi Bölcsőde kiadások"/>
      <sheetName val="23.sz. Hétszínvirág Óvoda"/>
      <sheetName val="24.sz. Mese Óvoda"/>
      <sheetName val="25.sz. Gyermekjóléti kiadások"/>
      <sheetName val="26.sz. Városi Könyvtár és JAM"/>
      <sheetName val="27.sz.Területi kiadások"/>
      <sheetName val="28.sz. Intézmények összesen"/>
      <sheetName val="29.sz.Dh.Önkorm. mindösszesen"/>
      <sheetName val="30.sz.mell. Beruházások"/>
      <sheetName val="31.sz.mell. Felh.átadott pe"/>
      <sheetName val="32.sz.mell. Műk. tám I."/>
      <sheetName val="33.sz.mell. Műk. tám II."/>
      <sheetName val="34.sz.mell. Tartalékok"/>
      <sheetName val="35.sz.mell. Szociális"/>
      <sheetName val="36.sz.mell. Intézm.fin."/>
      <sheetName val="37.sz.mell.Felújítások"/>
      <sheetName val="1.sz.függelék.Normatíva"/>
      <sheetName val="2.sz.függelék.Mérlegszerű"/>
      <sheetName val="3.sz.függelék.Ütemterv"/>
      <sheetName val="4.sz.függelék többéves "/>
      <sheetName val="5.sz.függelék.Hitelképesség"/>
      <sheetName val="6.szfüggelékEU-Szivárvány Óvoda"/>
      <sheetName val="7.sz.függ.Önkormány bev-kiad"/>
      <sheetName val="8.sz.függ.PMH bev-kiad"/>
      <sheetName val="9.sz.függ.Ter.Gond."/>
      <sheetName val="10.sz.függ.Könyvtár"/>
      <sheetName val="11.sz.függ.Hétszínvirág Ó."/>
      <sheetName val="12.sz.függ.Mese Ó."/>
      <sheetName val="13.sz.függ.Bölcsőde"/>
      <sheetName val="14.sz.függ.Gyermekjóléti"/>
      <sheetName val="15.sz.függ.Mindösszesen"/>
    </sheetNames>
    <sheetDataSet>
      <sheetData sheetId="0">
        <row r="112">
          <cell r="D112">
            <v>500601</v>
          </cell>
        </row>
      </sheetData>
      <sheetData sheetId="1">
        <row r="105">
          <cell r="D105">
            <v>90163</v>
          </cell>
        </row>
      </sheetData>
      <sheetData sheetId="2">
        <row r="93">
          <cell r="D93">
            <v>318464</v>
          </cell>
        </row>
      </sheetData>
      <sheetData sheetId="3">
        <row r="90">
          <cell r="D90">
            <v>304152</v>
          </cell>
        </row>
      </sheetData>
      <sheetData sheetId="4">
        <row r="89">
          <cell r="D89">
            <v>41156</v>
          </cell>
        </row>
      </sheetData>
      <sheetData sheetId="5">
        <row r="100">
          <cell r="D100">
            <v>50582</v>
          </cell>
        </row>
      </sheetData>
      <sheetData sheetId="6">
        <row r="105">
          <cell r="D105">
            <v>299096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127"/>
  <sheetViews>
    <sheetView zoomScalePageLayoutView="0" workbookViewId="0" topLeftCell="A1">
      <pane xSplit="5" ySplit="10" topLeftCell="F10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54" sqref="D54"/>
    </sheetView>
  </sheetViews>
  <sheetFormatPr defaultColWidth="9.00390625" defaultRowHeight="12.75"/>
  <cols>
    <col min="1" max="1" width="5.375" style="510" customWidth="1"/>
    <col min="2" max="2" width="8.375" style="510" bestFit="1" customWidth="1"/>
    <col min="3" max="3" width="19.875" style="510" customWidth="1"/>
    <col min="4" max="4" width="55.25390625" style="510" customWidth="1"/>
    <col min="5" max="5" width="11.25390625" style="510" customWidth="1"/>
    <col min="6" max="6" width="12.25390625" style="510" customWidth="1"/>
    <col min="7" max="7" width="10.125" style="510" customWidth="1"/>
    <col min="8" max="10" width="14.125" style="695" customWidth="1"/>
    <col min="11" max="13" width="12.875" style="510" customWidth="1"/>
    <col min="14" max="22" width="12.25390625" style="510" customWidth="1"/>
    <col min="23" max="25" width="12.375" style="510" customWidth="1"/>
    <col min="26" max="26" width="1.37890625" style="510" customWidth="1"/>
    <col min="27" max="27" width="9.875" style="510" customWidth="1"/>
    <col min="28" max="28" width="10.25390625" style="510" customWidth="1"/>
    <col min="29" max="29" width="12.25390625" style="510" customWidth="1"/>
    <col min="30" max="30" width="12.00390625" style="510" customWidth="1"/>
    <col min="31" max="31" width="13.375" style="510" customWidth="1"/>
    <col min="32" max="32" width="9.75390625" style="510" bestFit="1" customWidth="1"/>
    <col min="33" max="16384" width="9.125" style="510" customWidth="1"/>
  </cols>
  <sheetData>
    <row r="1" spans="1:30" s="695" customFormat="1" ht="22.5" customHeight="1">
      <c r="A1" s="1050" t="s">
        <v>16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</row>
    <row r="2" spans="1:30" s="695" customFormat="1" ht="22.5" customHeight="1">
      <c r="A2" s="1051" t="s">
        <v>66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</row>
    <row r="3" spans="1:30" s="695" customFormat="1" ht="22.5" customHeight="1">
      <c r="A3" s="1051" t="s">
        <v>558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</row>
    <row r="4" spans="29:30" ht="15">
      <c r="AC4" s="1052" t="s">
        <v>18</v>
      </c>
      <c r="AD4" s="1052"/>
    </row>
    <row r="5" spans="1:31" s="697" customFormat="1" ht="47.25" customHeight="1">
      <c r="A5" s="980" t="s">
        <v>67</v>
      </c>
      <c r="B5" s="1053" t="s">
        <v>68</v>
      </c>
      <c r="C5" s="1054" t="s">
        <v>69</v>
      </c>
      <c r="D5" s="1057" t="s">
        <v>21</v>
      </c>
      <c r="E5" s="985" t="s">
        <v>70</v>
      </c>
      <c r="F5" s="696" t="s">
        <v>71</v>
      </c>
      <c r="G5" s="994" t="s">
        <v>72</v>
      </c>
      <c r="H5" s="1017" t="s">
        <v>285</v>
      </c>
      <c r="I5" s="1018"/>
      <c r="J5" s="1019"/>
      <c r="K5" s="1001" t="s">
        <v>73</v>
      </c>
      <c r="L5" s="1002"/>
      <c r="M5" s="1003"/>
      <c r="N5" s="1001" t="s">
        <v>74</v>
      </c>
      <c r="O5" s="1002"/>
      <c r="P5" s="1003"/>
      <c r="Q5" s="1001" t="s">
        <v>75</v>
      </c>
      <c r="R5" s="1002"/>
      <c r="S5" s="1003"/>
      <c r="T5" s="1001" t="s">
        <v>76</v>
      </c>
      <c r="U5" s="1002"/>
      <c r="V5" s="1003"/>
      <c r="W5" s="1064" t="s">
        <v>77</v>
      </c>
      <c r="X5" s="1064"/>
      <c r="Y5" s="1064"/>
      <c r="AA5" s="978" t="s">
        <v>78</v>
      </c>
      <c r="AB5" s="978"/>
      <c r="AC5" s="978"/>
      <c r="AD5" s="1065" t="s">
        <v>79</v>
      </c>
      <c r="AE5" s="1058" t="s">
        <v>288</v>
      </c>
    </row>
    <row r="6" spans="1:31" s="697" customFormat="1" ht="30" customHeight="1">
      <c r="A6" s="980"/>
      <c r="B6" s="1053"/>
      <c r="C6" s="1055"/>
      <c r="D6" s="1057"/>
      <c r="E6" s="986"/>
      <c r="F6" s="988" t="s">
        <v>80</v>
      </c>
      <c r="G6" s="995"/>
      <c r="H6" s="1020"/>
      <c r="I6" s="1021"/>
      <c r="J6" s="1022"/>
      <c r="K6" s="1004"/>
      <c r="L6" s="1005"/>
      <c r="M6" s="1006"/>
      <c r="N6" s="1004"/>
      <c r="O6" s="1005"/>
      <c r="P6" s="1006"/>
      <c r="Q6" s="1004"/>
      <c r="R6" s="1005"/>
      <c r="S6" s="1006"/>
      <c r="T6" s="1004"/>
      <c r="U6" s="1005"/>
      <c r="V6" s="1006"/>
      <c r="W6" s="1064"/>
      <c r="X6" s="1064"/>
      <c r="Y6" s="1064"/>
      <c r="AA6" s="1061" t="s">
        <v>81</v>
      </c>
      <c r="AB6" s="1061" t="s">
        <v>82</v>
      </c>
      <c r="AC6" s="1061" t="s">
        <v>83</v>
      </c>
      <c r="AD6" s="1066"/>
      <c r="AE6" s="1059"/>
    </row>
    <row r="7" spans="1:31" s="697" customFormat="1" ht="42.75" customHeight="1">
      <c r="A7" s="980"/>
      <c r="B7" s="698" t="s">
        <v>84</v>
      </c>
      <c r="C7" s="1056"/>
      <c r="D7" s="1057"/>
      <c r="E7" s="986"/>
      <c r="F7" s="989"/>
      <c r="G7" s="995"/>
      <c r="H7" s="978" t="s">
        <v>322</v>
      </c>
      <c r="I7" s="978" t="s">
        <v>319</v>
      </c>
      <c r="J7" s="978" t="s">
        <v>497</v>
      </c>
      <c r="K7" s="511" t="s">
        <v>322</v>
      </c>
      <c r="L7" s="511" t="s">
        <v>319</v>
      </c>
      <c r="M7" s="511" t="s">
        <v>497</v>
      </c>
      <c r="N7" s="511" t="s">
        <v>322</v>
      </c>
      <c r="O7" s="511" t="s">
        <v>319</v>
      </c>
      <c r="P7" s="511" t="s">
        <v>497</v>
      </c>
      <c r="Q7" s="511" t="s">
        <v>322</v>
      </c>
      <c r="R7" s="511" t="s">
        <v>319</v>
      </c>
      <c r="S7" s="511" t="s">
        <v>497</v>
      </c>
      <c r="T7" s="511" t="s">
        <v>322</v>
      </c>
      <c r="U7" s="511" t="s">
        <v>319</v>
      </c>
      <c r="V7" s="511" t="s">
        <v>497</v>
      </c>
      <c r="W7" s="511" t="s">
        <v>322</v>
      </c>
      <c r="X7" s="511" t="s">
        <v>319</v>
      </c>
      <c r="Y7" s="511" t="s">
        <v>497</v>
      </c>
      <c r="AA7" s="1062"/>
      <c r="AB7" s="1062"/>
      <c r="AC7" s="1062"/>
      <c r="AD7" s="1066"/>
      <c r="AE7" s="1059"/>
    </row>
    <row r="8" spans="1:31" s="697" customFormat="1" ht="15.75" customHeight="1">
      <c r="A8" s="991" t="s">
        <v>45</v>
      </c>
      <c r="B8" s="992"/>
      <c r="C8" s="992"/>
      <c r="D8" s="993"/>
      <c r="E8" s="987"/>
      <c r="F8" s="990"/>
      <c r="G8" s="996"/>
      <c r="H8" s="978"/>
      <c r="I8" s="978"/>
      <c r="J8" s="978"/>
      <c r="K8" s="1012" t="s">
        <v>85</v>
      </c>
      <c r="L8" s="1013"/>
      <c r="M8" s="1014"/>
      <c r="N8" s="981" t="s">
        <v>86</v>
      </c>
      <c r="O8" s="982"/>
      <c r="P8" s="983"/>
      <c r="Q8" s="981" t="s">
        <v>87</v>
      </c>
      <c r="R8" s="982"/>
      <c r="S8" s="983"/>
      <c r="T8" s="1012" t="s">
        <v>88</v>
      </c>
      <c r="U8" s="1013"/>
      <c r="V8" s="1014"/>
      <c r="W8" s="1023" t="s">
        <v>89</v>
      </c>
      <c r="X8" s="1023"/>
      <c r="Y8" s="1023"/>
      <c r="AA8" s="1063"/>
      <c r="AB8" s="1063"/>
      <c r="AC8" s="1063"/>
      <c r="AD8" s="1067"/>
      <c r="AE8" s="1060"/>
    </row>
    <row r="9" spans="1:31" s="700" customFormat="1" ht="15.75">
      <c r="A9" s="512" t="s">
        <v>1</v>
      </c>
      <c r="B9" s="512" t="s">
        <v>2</v>
      </c>
      <c r="C9" s="512" t="s">
        <v>3</v>
      </c>
      <c r="D9" s="512" t="s">
        <v>4</v>
      </c>
      <c r="E9" s="512" t="s">
        <v>5</v>
      </c>
      <c r="F9" s="512" t="s">
        <v>6</v>
      </c>
      <c r="G9" s="512" t="s">
        <v>7</v>
      </c>
      <c r="H9" s="512" t="s">
        <v>8</v>
      </c>
      <c r="I9" s="512" t="s">
        <v>9</v>
      </c>
      <c r="J9" s="512" t="s">
        <v>10</v>
      </c>
      <c r="K9" s="512" t="s">
        <v>11</v>
      </c>
      <c r="L9" s="512" t="s">
        <v>57</v>
      </c>
      <c r="M9" s="512" t="s">
        <v>58</v>
      </c>
      <c r="N9" s="512" t="s">
        <v>59</v>
      </c>
      <c r="O9" s="512" t="s">
        <v>60</v>
      </c>
      <c r="P9" s="512" t="s">
        <v>61</v>
      </c>
      <c r="Q9" s="512" t="s">
        <v>62</v>
      </c>
      <c r="R9" s="512" t="s">
        <v>63</v>
      </c>
      <c r="S9" s="512" t="s">
        <v>64</v>
      </c>
      <c r="T9" s="512" t="s">
        <v>65</v>
      </c>
      <c r="U9" s="512" t="s">
        <v>302</v>
      </c>
      <c r="V9" s="512" t="s">
        <v>303</v>
      </c>
      <c r="W9" s="512" t="s">
        <v>304</v>
      </c>
      <c r="X9" s="512" t="s">
        <v>305</v>
      </c>
      <c r="Y9" s="512" t="s">
        <v>306</v>
      </c>
      <c r="Z9" s="699"/>
      <c r="AA9" s="512" t="s">
        <v>307</v>
      </c>
      <c r="AB9" s="512" t="s">
        <v>308</v>
      </c>
      <c r="AC9" s="512" t="s">
        <v>309</v>
      </c>
      <c r="AD9" s="512" t="s">
        <v>310</v>
      </c>
      <c r="AE9" s="512" t="s">
        <v>311</v>
      </c>
    </row>
    <row r="10" spans="1:31" s="695" customFormat="1" ht="18" customHeight="1">
      <c r="A10" s="973" t="s">
        <v>90</v>
      </c>
      <c r="B10" s="974"/>
      <c r="C10" s="974"/>
      <c r="D10" s="974"/>
      <c r="E10" s="974"/>
      <c r="F10" s="974"/>
      <c r="G10" s="974"/>
      <c r="H10" s="974"/>
      <c r="I10" s="974"/>
      <c r="J10" s="974"/>
      <c r="K10" s="974"/>
      <c r="L10" s="974"/>
      <c r="M10" s="974"/>
      <c r="N10" s="974"/>
      <c r="O10" s="974"/>
      <c r="P10" s="979"/>
      <c r="Q10" s="1007" t="s">
        <v>90</v>
      </c>
      <c r="R10" s="1008"/>
      <c r="S10" s="1008"/>
      <c r="T10" s="1008"/>
      <c r="U10" s="1008"/>
      <c r="V10" s="1008"/>
      <c r="W10" s="1008"/>
      <c r="X10" s="1008"/>
      <c r="Y10" s="1008"/>
      <c r="AA10" s="701"/>
      <c r="AB10" s="702"/>
      <c r="AC10" s="702"/>
      <c r="AD10" s="702"/>
      <c r="AE10" s="702"/>
    </row>
    <row r="11" spans="1:31" ht="26.25" customHeight="1">
      <c r="A11" s="703" t="s">
        <v>264</v>
      </c>
      <c r="B11" s="704" t="s">
        <v>356</v>
      </c>
      <c r="C11" s="1044" t="s">
        <v>263</v>
      </c>
      <c r="D11" s="705" t="s">
        <v>91</v>
      </c>
      <c r="E11" s="706">
        <v>3304</v>
      </c>
      <c r="F11" s="707">
        <v>606000</v>
      </c>
      <c r="G11" s="707"/>
      <c r="H11" s="708">
        <f>+N11+K11+Q11+T11+W11</f>
        <v>364142</v>
      </c>
      <c r="I11" s="708">
        <f>+O11+L11+R11+U11+X11</f>
        <v>288353</v>
      </c>
      <c r="J11" s="1029">
        <f>+M11+P11+S11+Y11+V11</f>
        <v>462709</v>
      </c>
      <c r="K11" s="513"/>
      <c r="L11" s="513">
        <v>210</v>
      </c>
      <c r="M11" s="969">
        <v>210</v>
      </c>
      <c r="N11" s="513">
        <v>260364</v>
      </c>
      <c r="O11" s="513">
        <f>264605+1452</f>
        <v>266057</v>
      </c>
      <c r="P11" s="969">
        <v>431113</v>
      </c>
      <c r="Q11" s="513"/>
      <c r="R11" s="513">
        <v>1242</v>
      </c>
      <c r="S11" s="969">
        <v>1242</v>
      </c>
      <c r="T11" s="513">
        <v>22838</v>
      </c>
      <c r="U11" s="513">
        <v>19732</v>
      </c>
      <c r="V11" s="969">
        <v>19732</v>
      </c>
      <c r="W11" s="513">
        <v>80940</v>
      </c>
      <c r="X11" s="513">
        <v>1112</v>
      </c>
      <c r="Y11" s="970">
        <v>10412</v>
      </c>
      <c r="AA11" s="703"/>
      <c r="AB11" s="705"/>
      <c r="AC11" s="707">
        <v>290432</v>
      </c>
      <c r="AD11" s="705"/>
      <c r="AE11" s="709" t="s">
        <v>34</v>
      </c>
    </row>
    <row r="12" spans="1:31" s="717" customFormat="1" ht="26.25" customHeight="1">
      <c r="A12" s="710" t="s">
        <v>265</v>
      </c>
      <c r="B12" s="711" t="s">
        <v>356</v>
      </c>
      <c r="C12" s="1045"/>
      <c r="D12" s="713" t="s">
        <v>92</v>
      </c>
      <c r="E12" s="714">
        <v>3304</v>
      </c>
      <c r="F12" s="715"/>
      <c r="G12" s="715"/>
      <c r="H12" s="708">
        <f>+N12+K12+Q12+T12+W12</f>
        <v>0</v>
      </c>
      <c r="I12" s="716">
        <f>SUM(L12:X12)</f>
        <v>174356</v>
      </c>
      <c r="J12" s="1029"/>
      <c r="K12" s="514"/>
      <c r="L12" s="514"/>
      <c r="M12" s="969"/>
      <c r="N12" s="514"/>
      <c r="O12" s="514">
        <v>165056</v>
      </c>
      <c r="P12" s="969"/>
      <c r="Q12" s="514"/>
      <c r="R12" s="514">
        <f>SUM(Q12:Q12)</f>
        <v>0</v>
      </c>
      <c r="S12" s="969"/>
      <c r="T12" s="514"/>
      <c r="U12" s="514"/>
      <c r="V12" s="969"/>
      <c r="W12" s="514"/>
      <c r="X12" s="514">
        <v>9300</v>
      </c>
      <c r="Y12" s="970"/>
      <c r="AA12" s="718">
        <v>190032</v>
      </c>
      <c r="AB12" s="719"/>
      <c r="AC12" s="715"/>
      <c r="AD12" s="713"/>
      <c r="AE12" s="720" t="s">
        <v>34</v>
      </c>
    </row>
    <row r="13" spans="1:31" s="717" customFormat="1" ht="39">
      <c r="A13" s="710" t="s">
        <v>2</v>
      </c>
      <c r="B13" s="711" t="s">
        <v>354</v>
      </c>
      <c r="C13" s="712" t="s">
        <v>466</v>
      </c>
      <c r="D13" s="713" t="s">
        <v>467</v>
      </c>
      <c r="E13" s="714">
        <v>4058</v>
      </c>
      <c r="F13" s="715"/>
      <c r="G13" s="715"/>
      <c r="H13" s="716"/>
      <c r="I13" s="716">
        <f>+L13+O13+R13+U13+X13</f>
        <v>200</v>
      </c>
      <c r="J13" s="708">
        <f>+M13+P13+S13+Y13</f>
        <v>200</v>
      </c>
      <c r="K13" s="514"/>
      <c r="L13" s="514"/>
      <c r="M13" s="514"/>
      <c r="N13" s="514"/>
      <c r="O13" s="514">
        <v>200</v>
      </c>
      <c r="P13" s="514">
        <v>200</v>
      </c>
      <c r="Q13" s="514"/>
      <c r="R13" s="514"/>
      <c r="S13" s="514"/>
      <c r="T13" s="514"/>
      <c r="U13" s="514">
        <v>0</v>
      </c>
      <c r="V13" s="514"/>
      <c r="W13" s="514"/>
      <c r="X13" s="514">
        <v>0</v>
      </c>
      <c r="Y13" s="721"/>
      <c r="AA13" s="718">
        <v>25433</v>
      </c>
      <c r="AB13" s="719"/>
      <c r="AC13" s="715"/>
      <c r="AD13" s="713"/>
      <c r="AE13" s="720" t="s">
        <v>34</v>
      </c>
    </row>
    <row r="14" spans="1:31" s="717" customFormat="1" ht="51.75">
      <c r="A14" s="722" t="s">
        <v>3</v>
      </c>
      <c r="B14" s="723" t="s">
        <v>465</v>
      </c>
      <c r="C14" s="724" t="s">
        <v>468</v>
      </c>
      <c r="D14" s="725" t="s">
        <v>469</v>
      </c>
      <c r="E14" s="726">
        <v>4054</v>
      </c>
      <c r="F14" s="727"/>
      <c r="G14" s="727"/>
      <c r="H14" s="728"/>
      <c r="I14" s="728">
        <f>+L14+O14+R14+U14+X14</f>
        <v>250</v>
      </c>
      <c r="J14" s="728">
        <f>+M14+P14+S14+V14+Y14</f>
        <v>250</v>
      </c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>
        <v>250</v>
      </c>
      <c r="V14" s="515">
        <v>250</v>
      </c>
      <c r="W14" s="515"/>
      <c r="X14" s="515">
        <v>0</v>
      </c>
      <c r="Y14" s="729"/>
      <c r="AA14" s="730">
        <v>43904</v>
      </c>
      <c r="AB14" s="731"/>
      <c r="AC14" s="727"/>
      <c r="AD14" s="725"/>
      <c r="AE14" s="732" t="s">
        <v>34</v>
      </c>
    </row>
    <row r="15" spans="1:32" ht="15.75">
      <c r="A15" s="971"/>
      <c r="B15" s="972"/>
      <c r="C15" s="733"/>
      <c r="D15" s="734" t="s">
        <v>93</v>
      </c>
      <c r="E15" s="735"/>
      <c r="F15" s="516">
        <f>SUM(F11:F14)</f>
        <v>606000</v>
      </c>
      <c r="G15" s="516"/>
      <c r="H15" s="516">
        <f aca="true" t="shared" si="0" ref="H15:Y15">SUM(H11:H14)</f>
        <v>364142</v>
      </c>
      <c r="I15" s="516">
        <f t="shared" si="0"/>
        <v>463159</v>
      </c>
      <c r="J15" s="516">
        <f t="shared" si="0"/>
        <v>463159</v>
      </c>
      <c r="K15" s="516">
        <f t="shared" si="0"/>
        <v>0</v>
      </c>
      <c r="L15" s="516">
        <f t="shared" si="0"/>
        <v>210</v>
      </c>
      <c r="M15" s="516">
        <f t="shared" si="0"/>
        <v>210</v>
      </c>
      <c r="N15" s="516">
        <f t="shared" si="0"/>
        <v>260364</v>
      </c>
      <c r="O15" s="516">
        <f t="shared" si="0"/>
        <v>431313</v>
      </c>
      <c r="P15" s="516">
        <f t="shared" si="0"/>
        <v>431313</v>
      </c>
      <c r="Q15" s="516">
        <f t="shared" si="0"/>
        <v>0</v>
      </c>
      <c r="R15" s="516">
        <f t="shared" si="0"/>
        <v>1242</v>
      </c>
      <c r="S15" s="516">
        <f t="shared" si="0"/>
        <v>1242</v>
      </c>
      <c r="T15" s="516">
        <f t="shared" si="0"/>
        <v>22838</v>
      </c>
      <c r="U15" s="516">
        <f t="shared" si="0"/>
        <v>19982</v>
      </c>
      <c r="V15" s="516">
        <f t="shared" si="0"/>
        <v>19982</v>
      </c>
      <c r="W15" s="516">
        <f t="shared" si="0"/>
        <v>80940</v>
      </c>
      <c r="X15" s="516">
        <f t="shared" si="0"/>
        <v>10412</v>
      </c>
      <c r="Y15" s="736">
        <f t="shared" si="0"/>
        <v>10412</v>
      </c>
      <c r="AA15" s="737">
        <f>SUM(AA11:AA14)</f>
        <v>259369</v>
      </c>
      <c r="AB15" s="738">
        <f>SUM(AB11:AB11)</f>
        <v>0</v>
      </c>
      <c r="AC15" s="738">
        <f>SUM(AC11:AC11)</f>
        <v>290432</v>
      </c>
      <c r="AD15" s="739"/>
      <c r="AE15" s="740"/>
      <c r="AF15" s="741">
        <f>SUM(AA15:AC15)</f>
        <v>549801</v>
      </c>
    </row>
    <row r="16" spans="1:32" ht="15.75">
      <c r="A16" s="742"/>
      <c r="B16" s="742"/>
      <c r="C16" s="742"/>
      <c r="D16" s="743"/>
      <c r="E16" s="744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745"/>
      <c r="AA16" s="746"/>
      <c r="AB16" s="746"/>
      <c r="AC16" s="747"/>
      <c r="AD16" s="746"/>
      <c r="AE16" s="748"/>
      <c r="AF16" s="749">
        <f>+AF15-I15</f>
        <v>86642</v>
      </c>
    </row>
    <row r="17" spans="1:31" s="695" customFormat="1" ht="15">
      <c r="A17" s="973" t="s">
        <v>94</v>
      </c>
      <c r="B17" s="974"/>
      <c r="C17" s="974"/>
      <c r="D17" s="974"/>
      <c r="E17" s="974"/>
      <c r="F17" s="974"/>
      <c r="G17" s="974"/>
      <c r="H17" s="974"/>
      <c r="I17" s="974"/>
      <c r="J17" s="974"/>
      <c r="K17" s="974"/>
      <c r="L17" s="974"/>
      <c r="M17" s="974"/>
      <c r="N17" s="974"/>
      <c r="O17" s="974"/>
      <c r="P17" s="974"/>
      <c r="Q17" s="974" t="s">
        <v>94</v>
      </c>
      <c r="R17" s="974"/>
      <c r="S17" s="974"/>
      <c r="T17" s="974"/>
      <c r="U17" s="974"/>
      <c r="V17" s="974"/>
      <c r="W17" s="974"/>
      <c r="X17" s="974"/>
      <c r="Y17" s="997"/>
      <c r="AA17" s="750"/>
      <c r="AB17" s="751"/>
      <c r="AC17" s="752"/>
      <c r="AD17" s="753"/>
      <c r="AE17" s="754"/>
    </row>
    <row r="18" spans="1:31" ht="15.75" customHeight="1">
      <c r="A18" s="703" t="s">
        <v>1</v>
      </c>
      <c r="B18" s="977" t="s">
        <v>329</v>
      </c>
      <c r="C18" s="976" t="s">
        <v>261</v>
      </c>
      <c r="D18" s="705" t="s">
        <v>95</v>
      </c>
      <c r="E18" s="706">
        <v>4001</v>
      </c>
      <c r="F18" s="707"/>
      <c r="G18" s="705"/>
      <c r="H18" s="708">
        <f aca="true" t="shared" si="1" ref="H18:H31">+K18+N18+Q18+T18+W18</f>
        <v>28663</v>
      </c>
      <c r="I18" s="708">
        <f aca="true" t="shared" si="2" ref="I18:I31">+L18+O18+R18+U18+X18</f>
        <v>29992</v>
      </c>
      <c r="J18" s="1029">
        <f>+M18+P18+S18+V18+Y18</f>
        <v>154666</v>
      </c>
      <c r="K18" s="513"/>
      <c r="L18" s="513"/>
      <c r="M18" s="513"/>
      <c r="N18" s="513">
        <v>22569</v>
      </c>
      <c r="O18" s="513">
        <v>28405</v>
      </c>
      <c r="P18" s="969">
        <v>153094</v>
      </c>
      <c r="Q18" s="513"/>
      <c r="R18" s="513">
        <f aca="true" t="shared" si="3" ref="R18:R29">SUM(Q18:Q18)</f>
        <v>0</v>
      </c>
      <c r="S18" s="513"/>
      <c r="T18" s="513"/>
      <c r="U18" s="513">
        <f aca="true" t="shared" si="4" ref="U18:U29">SUM(T18:T18)</f>
        <v>0</v>
      </c>
      <c r="V18" s="513"/>
      <c r="W18" s="757">
        <v>6094</v>
      </c>
      <c r="X18" s="757">
        <v>1587</v>
      </c>
      <c r="Y18" s="984">
        <v>1572</v>
      </c>
      <c r="AA18" s="963">
        <v>17510</v>
      </c>
      <c r="AB18" s="758"/>
      <c r="AC18" s="998">
        <v>207051</v>
      </c>
      <c r="AD18" s="709"/>
      <c r="AE18" s="1015" t="s">
        <v>287</v>
      </c>
    </row>
    <row r="19" spans="1:31" ht="15.75">
      <c r="A19" s="703" t="s">
        <v>2</v>
      </c>
      <c r="B19" s="977"/>
      <c r="C19" s="976"/>
      <c r="D19" s="705" t="s">
        <v>96</v>
      </c>
      <c r="E19" s="706">
        <v>4002</v>
      </c>
      <c r="F19" s="707"/>
      <c r="G19" s="705"/>
      <c r="H19" s="708">
        <f t="shared" si="1"/>
        <v>37783</v>
      </c>
      <c r="I19" s="708">
        <f t="shared" si="2"/>
        <v>29750</v>
      </c>
      <c r="J19" s="1029"/>
      <c r="K19" s="513"/>
      <c r="L19" s="513"/>
      <c r="M19" s="513"/>
      <c r="N19" s="513">
        <v>29750</v>
      </c>
      <c r="O19" s="513">
        <f aca="true" t="shared" si="5" ref="O19:O29">SUM(N19:N19)</f>
        <v>29750</v>
      </c>
      <c r="P19" s="969"/>
      <c r="Q19" s="513"/>
      <c r="R19" s="513">
        <f t="shared" si="3"/>
        <v>0</v>
      </c>
      <c r="S19" s="513"/>
      <c r="T19" s="513"/>
      <c r="U19" s="513">
        <f t="shared" si="4"/>
        <v>0</v>
      </c>
      <c r="V19" s="513"/>
      <c r="W19" s="757">
        <v>8033</v>
      </c>
      <c r="X19" s="757">
        <v>0</v>
      </c>
      <c r="Y19" s="984"/>
      <c r="AA19" s="964"/>
      <c r="AB19" s="758"/>
      <c r="AC19" s="999"/>
      <c r="AD19" s="709"/>
      <c r="AE19" s="1016"/>
    </row>
    <row r="20" spans="1:31" ht="15.75">
      <c r="A20" s="703" t="s">
        <v>3</v>
      </c>
      <c r="B20" s="977"/>
      <c r="C20" s="976"/>
      <c r="D20" s="705" t="s">
        <v>97</v>
      </c>
      <c r="E20" s="706">
        <v>4003</v>
      </c>
      <c r="F20" s="707"/>
      <c r="G20" s="705"/>
      <c r="H20" s="708">
        <f t="shared" si="1"/>
        <v>21907</v>
      </c>
      <c r="I20" s="708">
        <f t="shared" si="2"/>
        <v>17250</v>
      </c>
      <c r="J20" s="1029"/>
      <c r="K20" s="513"/>
      <c r="L20" s="513"/>
      <c r="M20" s="513"/>
      <c r="N20" s="513">
        <v>17250</v>
      </c>
      <c r="O20" s="513">
        <f t="shared" si="5"/>
        <v>17250</v>
      </c>
      <c r="P20" s="969"/>
      <c r="Q20" s="513"/>
      <c r="R20" s="513">
        <f t="shared" si="3"/>
        <v>0</v>
      </c>
      <c r="S20" s="513"/>
      <c r="T20" s="513"/>
      <c r="U20" s="513">
        <f t="shared" si="4"/>
        <v>0</v>
      </c>
      <c r="V20" s="513"/>
      <c r="W20" s="757">
        <v>4657</v>
      </c>
      <c r="X20" s="757">
        <v>0</v>
      </c>
      <c r="Y20" s="984"/>
      <c r="AA20" s="964"/>
      <c r="AB20" s="758"/>
      <c r="AC20" s="999"/>
      <c r="AD20" s="709"/>
      <c r="AE20" s="1016"/>
    </row>
    <row r="21" spans="1:31" ht="15.75">
      <c r="A21" s="703" t="s">
        <v>4</v>
      </c>
      <c r="B21" s="977"/>
      <c r="C21" s="976"/>
      <c r="D21" s="705" t="s">
        <v>98</v>
      </c>
      <c r="E21" s="706">
        <v>4004</v>
      </c>
      <c r="F21" s="707"/>
      <c r="G21" s="705"/>
      <c r="H21" s="708">
        <f t="shared" si="1"/>
        <v>21669</v>
      </c>
      <c r="I21" s="708">
        <f t="shared" si="2"/>
        <v>17062</v>
      </c>
      <c r="J21" s="1029"/>
      <c r="K21" s="513"/>
      <c r="L21" s="513"/>
      <c r="M21" s="513"/>
      <c r="N21" s="513">
        <v>17062</v>
      </c>
      <c r="O21" s="513">
        <f t="shared" si="5"/>
        <v>17062</v>
      </c>
      <c r="P21" s="969"/>
      <c r="Q21" s="513"/>
      <c r="R21" s="513">
        <f t="shared" si="3"/>
        <v>0</v>
      </c>
      <c r="S21" s="513"/>
      <c r="T21" s="513"/>
      <c r="U21" s="513">
        <f t="shared" si="4"/>
        <v>0</v>
      </c>
      <c r="V21" s="513"/>
      <c r="W21" s="757">
        <v>4607</v>
      </c>
      <c r="X21" s="757">
        <v>0</v>
      </c>
      <c r="Y21" s="984"/>
      <c r="AA21" s="964"/>
      <c r="AB21" s="758"/>
      <c r="AC21" s="999"/>
      <c r="AD21" s="709"/>
      <c r="AE21" s="1016"/>
    </row>
    <row r="22" spans="1:31" ht="15.75">
      <c r="A22" s="703" t="s">
        <v>5</v>
      </c>
      <c r="B22" s="977"/>
      <c r="C22" s="976"/>
      <c r="D22" s="705" t="s">
        <v>99</v>
      </c>
      <c r="E22" s="706">
        <v>4005</v>
      </c>
      <c r="F22" s="707"/>
      <c r="G22" s="705"/>
      <c r="H22" s="708">
        <f t="shared" si="1"/>
        <v>15751</v>
      </c>
      <c r="I22" s="708">
        <f t="shared" si="2"/>
        <v>12402</v>
      </c>
      <c r="J22" s="1029"/>
      <c r="K22" s="513"/>
      <c r="L22" s="513"/>
      <c r="M22" s="513"/>
      <c r="N22" s="513">
        <v>12402</v>
      </c>
      <c r="O22" s="513">
        <f t="shared" si="5"/>
        <v>12402</v>
      </c>
      <c r="P22" s="969"/>
      <c r="Q22" s="513"/>
      <c r="R22" s="513">
        <f t="shared" si="3"/>
        <v>0</v>
      </c>
      <c r="S22" s="513"/>
      <c r="T22" s="513"/>
      <c r="U22" s="513">
        <f t="shared" si="4"/>
        <v>0</v>
      </c>
      <c r="V22" s="513"/>
      <c r="W22" s="757">
        <v>3349</v>
      </c>
      <c r="X22" s="757">
        <v>0</v>
      </c>
      <c r="Y22" s="984"/>
      <c r="AA22" s="964"/>
      <c r="AB22" s="758"/>
      <c r="AC22" s="999"/>
      <c r="AD22" s="709"/>
      <c r="AE22" s="1016"/>
    </row>
    <row r="23" spans="1:31" ht="15.75">
      <c r="A23" s="703" t="s">
        <v>6</v>
      </c>
      <c r="B23" s="977"/>
      <c r="C23" s="976"/>
      <c r="D23" s="705" t="s">
        <v>100</v>
      </c>
      <c r="E23" s="706">
        <v>4006</v>
      </c>
      <c r="F23" s="707"/>
      <c r="G23" s="705"/>
      <c r="H23" s="708">
        <f t="shared" si="1"/>
        <v>17733</v>
      </c>
      <c r="I23" s="708">
        <f t="shared" si="2"/>
        <v>13963</v>
      </c>
      <c r="J23" s="1029"/>
      <c r="K23" s="513"/>
      <c r="L23" s="513"/>
      <c r="M23" s="513"/>
      <c r="N23" s="513">
        <v>13963</v>
      </c>
      <c r="O23" s="513">
        <f t="shared" si="5"/>
        <v>13963</v>
      </c>
      <c r="P23" s="969"/>
      <c r="Q23" s="513"/>
      <c r="R23" s="513">
        <f t="shared" si="3"/>
        <v>0</v>
      </c>
      <c r="S23" s="513"/>
      <c r="T23" s="513"/>
      <c r="U23" s="513">
        <f t="shared" si="4"/>
        <v>0</v>
      </c>
      <c r="V23" s="513"/>
      <c r="W23" s="757">
        <v>3770</v>
      </c>
      <c r="X23" s="757">
        <v>0</v>
      </c>
      <c r="Y23" s="984"/>
      <c r="AA23" s="964"/>
      <c r="AB23" s="758"/>
      <c r="AC23" s="999"/>
      <c r="AD23" s="709"/>
      <c r="AE23" s="1016"/>
    </row>
    <row r="24" spans="1:31" ht="15.75">
      <c r="A24" s="703" t="s">
        <v>7</v>
      </c>
      <c r="B24" s="977"/>
      <c r="C24" s="976"/>
      <c r="D24" s="705" t="s">
        <v>101</v>
      </c>
      <c r="E24" s="706">
        <v>4007</v>
      </c>
      <c r="F24" s="707"/>
      <c r="G24" s="705"/>
      <c r="H24" s="708">
        <f t="shared" si="1"/>
        <v>29628</v>
      </c>
      <c r="I24" s="708">
        <f t="shared" si="2"/>
        <v>23329</v>
      </c>
      <c r="J24" s="1029"/>
      <c r="K24" s="513"/>
      <c r="L24" s="513"/>
      <c r="M24" s="513"/>
      <c r="N24" s="513">
        <v>23329</v>
      </c>
      <c r="O24" s="513">
        <f t="shared" si="5"/>
        <v>23329</v>
      </c>
      <c r="P24" s="969"/>
      <c r="Q24" s="513"/>
      <c r="R24" s="513">
        <f t="shared" si="3"/>
        <v>0</v>
      </c>
      <c r="S24" s="513"/>
      <c r="T24" s="513"/>
      <c r="U24" s="513">
        <f t="shared" si="4"/>
        <v>0</v>
      </c>
      <c r="V24" s="513"/>
      <c r="W24" s="757">
        <v>6299</v>
      </c>
      <c r="X24" s="757">
        <v>0</v>
      </c>
      <c r="Y24" s="984"/>
      <c r="AA24" s="964"/>
      <c r="AB24" s="758"/>
      <c r="AC24" s="999"/>
      <c r="AD24" s="709"/>
      <c r="AE24" s="1016"/>
    </row>
    <row r="25" spans="1:31" ht="15.75">
      <c r="A25" s="703" t="s">
        <v>8</v>
      </c>
      <c r="B25" s="977"/>
      <c r="C25" s="976"/>
      <c r="D25" s="705" t="s">
        <v>102</v>
      </c>
      <c r="E25" s="706">
        <v>4008</v>
      </c>
      <c r="F25" s="707"/>
      <c r="G25" s="705"/>
      <c r="H25" s="708">
        <f t="shared" si="1"/>
        <v>13905</v>
      </c>
      <c r="I25" s="708">
        <f t="shared" si="2"/>
        <v>10949</v>
      </c>
      <c r="J25" s="1029"/>
      <c r="K25" s="513"/>
      <c r="L25" s="513"/>
      <c r="M25" s="513"/>
      <c r="N25" s="513">
        <v>10949</v>
      </c>
      <c r="O25" s="513">
        <f t="shared" si="5"/>
        <v>10949</v>
      </c>
      <c r="P25" s="969"/>
      <c r="Q25" s="513"/>
      <c r="R25" s="513">
        <f t="shared" si="3"/>
        <v>0</v>
      </c>
      <c r="S25" s="513"/>
      <c r="T25" s="513"/>
      <c r="U25" s="513">
        <f t="shared" si="4"/>
        <v>0</v>
      </c>
      <c r="V25" s="513"/>
      <c r="W25" s="757">
        <v>2956</v>
      </c>
      <c r="X25" s="757">
        <v>0</v>
      </c>
      <c r="Y25" s="984"/>
      <c r="AA25" s="964"/>
      <c r="AB25" s="758"/>
      <c r="AC25" s="999"/>
      <c r="AD25" s="709"/>
      <c r="AE25" s="1016"/>
    </row>
    <row r="26" spans="1:31" ht="15.75">
      <c r="A26" s="703" t="s">
        <v>9</v>
      </c>
      <c r="B26" s="977"/>
      <c r="C26" s="976"/>
      <c r="D26" s="705" t="s">
        <v>281</v>
      </c>
      <c r="E26" s="706">
        <v>4009</v>
      </c>
      <c r="F26" s="707"/>
      <c r="G26" s="705"/>
      <c r="H26" s="708">
        <f t="shared" si="1"/>
        <v>5000</v>
      </c>
      <c r="I26" s="708">
        <f t="shared" si="2"/>
        <v>0</v>
      </c>
      <c r="J26" s="762"/>
      <c r="K26" s="513"/>
      <c r="L26" s="513"/>
      <c r="M26" s="513"/>
      <c r="N26" s="513">
        <f>787*5</f>
        <v>3935</v>
      </c>
      <c r="O26" s="513">
        <v>0</v>
      </c>
      <c r="P26" s="763"/>
      <c r="Q26" s="513"/>
      <c r="R26" s="513">
        <f t="shared" si="3"/>
        <v>0</v>
      </c>
      <c r="S26" s="513"/>
      <c r="T26" s="513"/>
      <c r="U26" s="513">
        <f t="shared" si="4"/>
        <v>0</v>
      </c>
      <c r="V26" s="513"/>
      <c r="W26" s="757">
        <v>1065</v>
      </c>
      <c r="X26" s="757">
        <v>0</v>
      </c>
      <c r="Y26" s="764"/>
      <c r="AA26" s="964"/>
      <c r="AB26" s="758"/>
      <c r="AC26" s="999"/>
      <c r="AD26" s="709"/>
      <c r="AE26" s="1016"/>
    </row>
    <row r="27" spans="1:31" ht="15.75">
      <c r="A27" s="703" t="s">
        <v>10</v>
      </c>
      <c r="B27" s="977"/>
      <c r="C27" s="976"/>
      <c r="D27" s="705" t="s">
        <v>292</v>
      </c>
      <c r="E27" s="706">
        <v>4010</v>
      </c>
      <c r="F27" s="707"/>
      <c r="G27" s="705"/>
      <c r="H27" s="708">
        <f t="shared" si="1"/>
        <v>30000</v>
      </c>
      <c r="I27" s="708">
        <f t="shared" si="2"/>
        <v>15000</v>
      </c>
      <c r="J27" s="708">
        <f>+M27+P27+S27+V27+Y27</f>
        <v>14939</v>
      </c>
      <c r="K27" s="513"/>
      <c r="L27" s="513"/>
      <c r="M27" s="513"/>
      <c r="N27" s="513">
        <v>23622</v>
      </c>
      <c r="O27" s="513">
        <v>11811</v>
      </c>
      <c r="P27" s="513">
        <v>11763</v>
      </c>
      <c r="Q27" s="513"/>
      <c r="R27" s="513">
        <f t="shared" si="3"/>
        <v>0</v>
      </c>
      <c r="S27" s="513"/>
      <c r="T27" s="513"/>
      <c r="U27" s="513">
        <f t="shared" si="4"/>
        <v>0</v>
      </c>
      <c r="V27" s="513"/>
      <c r="W27" s="757">
        <v>6378</v>
      </c>
      <c r="X27" s="757">
        <v>3189</v>
      </c>
      <c r="Y27" s="764">
        <v>3176</v>
      </c>
      <c r="AA27" s="965"/>
      <c r="AB27" s="758"/>
      <c r="AC27" s="1000"/>
      <c r="AD27" s="709"/>
      <c r="AE27" s="1016"/>
    </row>
    <row r="28" spans="1:31" ht="15.75">
      <c r="A28" s="703" t="s">
        <v>11</v>
      </c>
      <c r="B28" s="977"/>
      <c r="C28" s="976"/>
      <c r="D28" s="705" t="s">
        <v>295</v>
      </c>
      <c r="E28" s="706"/>
      <c r="F28" s="707"/>
      <c r="G28" s="705"/>
      <c r="H28" s="708">
        <f t="shared" si="1"/>
        <v>0</v>
      </c>
      <c r="I28" s="708">
        <f t="shared" si="2"/>
        <v>0</v>
      </c>
      <c r="J28" s="708">
        <f>+M28+P28+S28+V28+Y28</f>
        <v>0</v>
      </c>
      <c r="K28" s="513"/>
      <c r="L28" s="513"/>
      <c r="M28" s="513"/>
      <c r="N28" s="513"/>
      <c r="O28" s="513">
        <f t="shared" si="5"/>
        <v>0</v>
      </c>
      <c r="P28" s="513"/>
      <c r="Q28" s="513"/>
      <c r="R28" s="513">
        <f t="shared" si="3"/>
        <v>0</v>
      </c>
      <c r="S28" s="513"/>
      <c r="T28" s="513"/>
      <c r="U28" s="513">
        <f t="shared" si="4"/>
        <v>0</v>
      </c>
      <c r="V28" s="513"/>
      <c r="W28" s="757">
        <v>0</v>
      </c>
      <c r="X28" s="757">
        <f>SUM(W28:W28)</f>
        <v>0</v>
      </c>
      <c r="Y28" s="764"/>
      <c r="AA28" s="703"/>
      <c r="AB28" s="758"/>
      <c r="AC28" s="705"/>
      <c r="AD28" s="765">
        <v>32000</v>
      </c>
      <c r="AE28" s="1016"/>
    </row>
    <row r="29" spans="1:31" s="767" customFormat="1" ht="30">
      <c r="A29" s="703" t="s">
        <v>57</v>
      </c>
      <c r="B29" s="977"/>
      <c r="C29" s="976"/>
      <c r="D29" s="766" t="s">
        <v>103</v>
      </c>
      <c r="E29" s="706"/>
      <c r="F29" s="707"/>
      <c r="G29" s="705"/>
      <c r="H29" s="708">
        <f t="shared" si="1"/>
        <v>0</v>
      </c>
      <c r="I29" s="708">
        <f t="shared" si="2"/>
        <v>0</v>
      </c>
      <c r="J29" s="708">
        <f>+M29+P29+S29+V29+Y29</f>
        <v>0</v>
      </c>
      <c r="K29" s="513"/>
      <c r="L29" s="513"/>
      <c r="M29" s="513"/>
      <c r="N29" s="513"/>
      <c r="O29" s="513">
        <f t="shared" si="5"/>
        <v>0</v>
      </c>
      <c r="P29" s="513"/>
      <c r="Q29" s="513"/>
      <c r="R29" s="513">
        <f t="shared" si="3"/>
        <v>0</v>
      </c>
      <c r="S29" s="513"/>
      <c r="T29" s="513"/>
      <c r="U29" s="513">
        <f t="shared" si="4"/>
        <v>0</v>
      </c>
      <c r="V29" s="513"/>
      <c r="W29" s="757">
        <v>0</v>
      </c>
      <c r="X29" s="757">
        <f>SUM(W29:W29)</f>
        <v>0</v>
      </c>
      <c r="Y29" s="764"/>
      <c r="AA29" s="768"/>
      <c r="AB29" s="769"/>
      <c r="AC29" s="769"/>
      <c r="AD29" s="770">
        <v>100000</v>
      </c>
      <c r="AE29" s="1016"/>
    </row>
    <row r="30" spans="1:31" s="745" customFormat="1" ht="15.75">
      <c r="A30" s="703" t="s">
        <v>58</v>
      </c>
      <c r="B30" s="977"/>
      <c r="C30" s="976"/>
      <c r="D30" s="766" t="s">
        <v>530</v>
      </c>
      <c r="E30" s="706"/>
      <c r="F30" s="707"/>
      <c r="G30" s="705"/>
      <c r="H30" s="708">
        <f>+K30+N30+Q30+T30+W30</f>
        <v>0</v>
      </c>
      <c r="I30" s="708">
        <f>+L30+O30+R30+U30+X30</f>
        <v>2505</v>
      </c>
      <c r="J30" s="708">
        <f>+M30+P30+S30+V30+Y30</f>
        <v>0</v>
      </c>
      <c r="K30" s="513"/>
      <c r="L30" s="513"/>
      <c r="M30" s="513"/>
      <c r="N30" s="513"/>
      <c r="O30" s="513">
        <v>1972</v>
      </c>
      <c r="P30" s="513"/>
      <c r="Q30" s="513"/>
      <c r="R30" s="513"/>
      <c r="S30" s="513"/>
      <c r="T30" s="513"/>
      <c r="U30" s="513"/>
      <c r="V30" s="513"/>
      <c r="W30" s="757">
        <v>0</v>
      </c>
      <c r="X30" s="757">
        <v>533</v>
      </c>
      <c r="Y30" s="764"/>
      <c r="AA30" s="771"/>
      <c r="AB30" s="772"/>
      <c r="AC30" s="772"/>
      <c r="AD30" s="773"/>
      <c r="AE30" s="761"/>
    </row>
    <row r="31" spans="1:31" s="745" customFormat="1" ht="15.75">
      <c r="A31" s="768" t="s">
        <v>59</v>
      </c>
      <c r="B31" s="1049"/>
      <c r="C31" s="1027"/>
      <c r="D31" s="776" t="s">
        <v>508</v>
      </c>
      <c r="E31" s="777">
        <v>4063</v>
      </c>
      <c r="F31" s="778"/>
      <c r="G31" s="769"/>
      <c r="H31" s="779">
        <f t="shared" si="1"/>
        <v>0</v>
      </c>
      <c r="I31" s="779">
        <f t="shared" si="2"/>
        <v>3000</v>
      </c>
      <c r="J31" s="779">
        <f>+M31+P31+S31+V31+Y31</f>
        <v>2400</v>
      </c>
      <c r="K31" s="518"/>
      <c r="L31" s="518"/>
      <c r="M31" s="518"/>
      <c r="N31" s="518"/>
      <c r="O31" s="518">
        <v>2362</v>
      </c>
      <c r="P31" s="518">
        <v>1890</v>
      </c>
      <c r="Q31" s="518"/>
      <c r="R31" s="518"/>
      <c r="S31" s="518"/>
      <c r="T31" s="518"/>
      <c r="U31" s="518"/>
      <c r="V31" s="518"/>
      <c r="W31" s="780">
        <v>0</v>
      </c>
      <c r="X31" s="780">
        <v>638</v>
      </c>
      <c r="Y31" s="781">
        <v>510</v>
      </c>
      <c r="AA31" s="771"/>
      <c r="AB31" s="772"/>
      <c r="AC31" s="772"/>
      <c r="AD31" s="773"/>
      <c r="AE31" s="761"/>
    </row>
    <row r="32" spans="1:32" ht="15.75">
      <c r="A32" s="971"/>
      <c r="B32" s="972"/>
      <c r="C32" s="733"/>
      <c r="D32" s="734" t="s">
        <v>104</v>
      </c>
      <c r="E32" s="735"/>
      <c r="F32" s="516"/>
      <c r="G32" s="516"/>
      <c r="H32" s="516">
        <f>SUM(H18:H31)</f>
        <v>222039</v>
      </c>
      <c r="I32" s="516">
        <f aca="true" t="shared" si="6" ref="I32:Y32">SUM(I18:I31)</f>
        <v>175202</v>
      </c>
      <c r="J32" s="516">
        <f t="shared" si="6"/>
        <v>172005</v>
      </c>
      <c r="K32" s="516">
        <f t="shared" si="6"/>
        <v>0</v>
      </c>
      <c r="L32" s="516">
        <f t="shared" si="6"/>
        <v>0</v>
      </c>
      <c r="M32" s="516">
        <f t="shared" si="6"/>
        <v>0</v>
      </c>
      <c r="N32" s="516">
        <f t="shared" si="6"/>
        <v>174831</v>
      </c>
      <c r="O32" s="516">
        <f t="shared" si="6"/>
        <v>169255</v>
      </c>
      <c r="P32" s="516">
        <f t="shared" si="6"/>
        <v>166747</v>
      </c>
      <c r="Q32" s="516">
        <f t="shared" si="6"/>
        <v>0</v>
      </c>
      <c r="R32" s="516">
        <f t="shared" si="6"/>
        <v>0</v>
      </c>
      <c r="S32" s="516">
        <f t="shared" si="6"/>
        <v>0</v>
      </c>
      <c r="T32" s="516">
        <f t="shared" si="6"/>
        <v>0</v>
      </c>
      <c r="U32" s="516">
        <f t="shared" si="6"/>
        <v>0</v>
      </c>
      <c r="V32" s="516">
        <f t="shared" si="6"/>
        <v>0</v>
      </c>
      <c r="W32" s="516">
        <f t="shared" si="6"/>
        <v>47208</v>
      </c>
      <c r="X32" s="516">
        <f t="shared" si="6"/>
        <v>5947</v>
      </c>
      <c r="Y32" s="516">
        <f t="shared" si="6"/>
        <v>5258</v>
      </c>
      <c r="AA32" s="782">
        <f>SUM(AA17:AA29)</f>
        <v>17510</v>
      </c>
      <c r="AB32" s="783">
        <f>SUM(AB18:AB29)</f>
        <v>0</v>
      </c>
      <c r="AC32" s="783">
        <f>SUM(AC18:AC29)</f>
        <v>207051</v>
      </c>
      <c r="AD32" s="783">
        <f>SUM(AD18:AD29)</f>
        <v>132000</v>
      </c>
      <c r="AE32" s="784"/>
      <c r="AF32" s="510">
        <f>SUM(AA32:AC32)</f>
        <v>224561</v>
      </c>
    </row>
    <row r="33" spans="1:30" s="745" customFormat="1" ht="15.75">
      <c r="A33" s="742"/>
      <c r="B33" s="742"/>
      <c r="C33" s="742"/>
      <c r="D33" s="743"/>
      <c r="E33" s="744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AA33" s="785"/>
      <c r="AB33" s="785"/>
      <c r="AC33" s="786"/>
      <c r="AD33" s="787"/>
    </row>
    <row r="34" spans="1:31" s="695" customFormat="1" ht="15">
      <c r="A34" s="973" t="s">
        <v>105</v>
      </c>
      <c r="B34" s="974"/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74"/>
      <c r="N34" s="974"/>
      <c r="O34" s="974"/>
      <c r="P34" s="974"/>
      <c r="Q34" s="974" t="s">
        <v>105</v>
      </c>
      <c r="R34" s="974"/>
      <c r="S34" s="974"/>
      <c r="T34" s="974"/>
      <c r="U34" s="974"/>
      <c r="V34" s="974"/>
      <c r="W34" s="974"/>
      <c r="X34" s="974"/>
      <c r="Y34" s="997"/>
      <c r="AA34" s="750"/>
      <c r="AB34" s="751"/>
      <c r="AC34" s="752"/>
      <c r="AD34" s="753"/>
      <c r="AE34" s="754"/>
    </row>
    <row r="35" spans="1:31" ht="15.75" customHeight="1">
      <c r="A35" s="703" t="s">
        <v>1</v>
      </c>
      <c r="B35" s="977" t="s">
        <v>328</v>
      </c>
      <c r="C35" s="976" t="s">
        <v>266</v>
      </c>
      <c r="D35" s="705" t="s">
        <v>106</v>
      </c>
      <c r="E35" s="1046">
        <v>4011</v>
      </c>
      <c r="F35" s="707"/>
      <c r="G35" s="705"/>
      <c r="H35" s="708">
        <f aca="true" t="shared" si="7" ref="H35:H46">+K35+N35+Q35+T35+W35</f>
        <v>5283</v>
      </c>
      <c r="I35" s="708">
        <f aca="true" t="shared" si="8" ref="I35:I52">+L35+O35+R35+U35+X35</f>
        <v>9340</v>
      </c>
      <c r="J35" s="1029">
        <f>+M35+P35+S35+V35+Y35</f>
        <v>105417</v>
      </c>
      <c r="K35" s="513"/>
      <c r="L35" s="513">
        <f aca="true" t="shared" si="9" ref="L35:L46">SUM(K35:K35)</f>
        <v>0</v>
      </c>
      <c r="M35" s="513"/>
      <c r="N35" s="513">
        <v>4160</v>
      </c>
      <c r="O35" s="513">
        <v>6743</v>
      </c>
      <c r="P35" s="969">
        <v>102820</v>
      </c>
      <c r="Q35" s="513"/>
      <c r="R35" s="513">
        <f aca="true" t="shared" si="10" ref="R35:R46">SUM(Q35:Q35)</f>
        <v>0</v>
      </c>
      <c r="S35" s="513"/>
      <c r="T35" s="513"/>
      <c r="U35" s="513">
        <f aca="true" t="shared" si="11" ref="U35:U46">SUM(T35:T35)</f>
        <v>0</v>
      </c>
      <c r="V35" s="513"/>
      <c r="W35" s="513">
        <v>1123</v>
      </c>
      <c r="X35" s="513">
        <v>2597</v>
      </c>
      <c r="Y35" s="970">
        <v>2597</v>
      </c>
      <c r="AA35" s="963">
        <v>20454</v>
      </c>
      <c r="AB35" s="758"/>
      <c r="AC35" s="998">
        <v>92949</v>
      </c>
      <c r="AD35" s="709"/>
      <c r="AE35" s="1015" t="s">
        <v>34</v>
      </c>
    </row>
    <row r="36" spans="1:31" ht="15">
      <c r="A36" s="703" t="s">
        <v>2</v>
      </c>
      <c r="B36" s="977"/>
      <c r="C36" s="976"/>
      <c r="D36" s="705" t="s">
        <v>107</v>
      </c>
      <c r="E36" s="1047"/>
      <c r="F36" s="707"/>
      <c r="G36" s="705"/>
      <c r="H36" s="708">
        <f t="shared" si="7"/>
        <v>9906</v>
      </c>
      <c r="I36" s="708">
        <f t="shared" si="8"/>
        <v>9905</v>
      </c>
      <c r="J36" s="1029"/>
      <c r="K36" s="513"/>
      <c r="L36" s="513">
        <f t="shared" si="9"/>
        <v>0</v>
      </c>
      <c r="M36" s="513"/>
      <c r="N36" s="513">
        <v>7800</v>
      </c>
      <c r="O36" s="513">
        <f>9906-1</f>
        <v>9905</v>
      </c>
      <c r="P36" s="969"/>
      <c r="Q36" s="513"/>
      <c r="R36" s="513">
        <f t="shared" si="10"/>
        <v>0</v>
      </c>
      <c r="S36" s="513"/>
      <c r="T36" s="513"/>
      <c r="U36" s="513">
        <f t="shared" si="11"/>
        <v>0</v>
      </c>
      <c r="V36" s="513"/>
      <c r="W36" s="513">
        <f>2106</f>
        <v>2106</v>
      </c>
      <c r="X36" s="513">
        <v>0</v>
      </c>
      <c r="Y36" s="970"/>
      <c r="AA36" s="964"/>
      <c r="AB36" s="758"/>
      <c r="AC36" s="999"/>
      <c r="AD36" s="709"/>
      <c r="AE36" s="1016"/>
    </row>
    <row r="37" spans="1:31" ht="15">
      <c r="A37" s="703" t="s">
        <v>3</v>
      </c>
      <c r="B37" s="977"/>
      <c r="C37" s="976"/>
      <c r="D37" s="705" t="s">
        <v>108</v>
      </c>
      <c r="E37" s="1047"/>
      <c r="F37" s="707"/>
      <c r="G37" s="705"/>
      <c r="H37" s="708">
        <f t="shared" si="7"/>
        <v>7925</v>
      </c>
      <c r="I37" s="708">
        <f t="shared" si="8"/>
        <v>7925</v>
      </c>
      <c r="J37" s="1029"/>
      <c r="K37" s="513"/>
      <c r="L37" s="513">
        <f t="shared" si="9"/>
        <v>0</v>
      </c>
      <c r="M37" s="513"/>
      <c r="N37" s="513">
        <v>6240</v>
      </c>
      <c r="O37" s="513">
        <v>7925</v>
      </c>
      <c r="P37" s="969"/>
      <c r="Q37" s="513"/>
      <c r="R37" s="513">
        <f t="shared" si="10"/>
        <v>0</v>
      </c>
      <c r="S37" s="513"/>
      <c r="T37" s="513"/>
      <c r="U37" s="513">
        <f t="shared" si="11"/>
        <v>0</v>
      </c>
      <c r="V37" s="513"/>
      <c r="W37" s="513">
        <v>1685</v>
      </c>
      <c r="X37" s="513">
        <v>0</v>
      </c>
      <c r="Y37" s="970"/>
      <c r="AA37" s="964"/>
      <c r="AB37" s="758"/>
      <c r="AC37" s="999"/>
      <c r="AD37" s="709"/>
      <c r="AE37" s="1016"/>
    </row>
    <row r="38" spans="1:31" ht="15">
      <c r="A38" s="703" t="s">
        <v>4</v>
      </c>
      <c r="B38" s="977"/>
      <c r="C38" s="976"/>
      <c r="D38" s="705" t="s">
        <v>280</v>
      </c>
      <c r="E38" s="1047"/>
      <c r="F38" s="707"/>
      <c r="G38" s="705"/>
      <c r="H38" s="708">
        <f t="shared" si="7"/>
        <v>26793</v>
      </c>
      <c r="I38" s="708">
        <f t="shared" si="8"/>
        <v>26793</v>
      </c>
      <c r="J38" s="1029"/>
      <c r="K38" s="513"/>
      <c r="L38" s="513">
        <f t="shared" si="9"/>
        <v>0</v>
      </c>
      <c r="M38" s="513"/>
      <c r="N38" s="513">
        <f>2600+18497</f>
        <v>21097</v>
      </c>
      <c r="O38" s="513">
        <v>26793</v>
      </c>
      <c r="P38" s="969"/>
      <c r="Q38" s="513"/>
      <c r="R38" s="513">
        <f t="shared" si="10"/>
        <v>0</v>
      </c>
      <c r="S38" s="513"/>
      <c r="T38" s="513"/>
      <c r="U38" s="513">
        <f t="shared" si="11"/>
        <v>0</v>
      </c>
      <c r="V38" s="513"/>
      <c r="W38" s="513">
        <f>702+4994</f>
        <v>5696</v>
      </c>
      <c r="X38" s="513">
        <v>0</v>
      </c>
      <c r="Y38" s="970"/>
      <c r="AA38" s="964"/>
      <c r="AB38" s="758"/>
      <c r="AC38" s="999"/>
      <c r="AD38" s="709"/>
      <c r="AE38" s="1016"/>
    </row>
    <row r="39" spans="1:31" ht="15">
      <c r="A39" s="703" t="s">
        <v>5</v>
      </c>
      <c r="B39" s="977"/>
      <c r="C39" s="976"/>
      <c r="D39" s="705" t="s">
        <v>109</v>
      </c>
      <c r="E39" s="1047"/>
      <c r="F39" s="707"/>
      <c r="G39" s="705"/>
      <c r="H39" s="708">
        <f t="shared" si="7"/>
        <v>7264</v>
      </c>
      <c r="I39" s="708">
        <f t="shared" si="8"/>
        <v>7264</v>
      </c>
      <c r="J39" s="1029"/>
      <c r="K39" s="513"/>
      <c r="L39" s="513">
        <f t="shared" si="9"/>
        <v>0</v>
      </c>
      <c r="M39" s="513"/>
      <c r="N39" s="513">
        <v>5720</v>
      </c>
      <c r="O39" s="513">
        <v>7264</v>
      </c>
      <c r="P39" s="969"/>
      <c r="Q39" s="513"/>
      <c r="R39" s="513">
        <f t="shared" si="10"/>
        <v>0</v>
      </c>
      <c r="S39" s="513"/>
      <c r="T39" s="513"/>
      <c r="U39" s="513">
        <f t="shared" si="11"/>
        <v>0</v>
      </c>
      <c r="V39" s="513"/>
      <c r="W39" s="513">
        <v>1544</v>
      </c>
      <c r="X39" s="513">
        <v>0</v>
      </c>
      <c r="Y39" s="970"/>
      <c r="AA39" s="964"/>
      <c r="AB39" s="758"/>
      <c r="AC39" s="999"/>
      <c r="AD39" s="709"/>
      <c r="AE39" s="1016"/>
    </row>
    <row r="40" spans="1:31" ht="15">
      <c r="A40" s="703" t="s">
        <v>6</v>
      </c>
      <c r="B40" s="977"/>
      <c r="C40" s="976"/>
      <c r="D40" s="705" t="s">
        <v>110</v>
      </c>
      <c r="E40" s="1047"/>
      <c r="F40" s="707"/>
      <c r="G40" s="705"/>
      <c r="H40" s="708">
        <f t="shared" si="7"/>
        <v>2642</v>
      </c>
      <c r="I40" s="708">
        <f t="shared" si="8"/>
        <v>2642</v>
      </c>
      <c r="J40" s="1029"/>
      <c r="K40" s="513"/>
      <c r="L40" s="513">
        <f t="shared" si="9"/>
        <v>0</v>
      </c>
      <c r="M40" s="513"/>
      <c r="N40" s="513">
        <v>2080</v>
      </c>
      <c r="O40" s="513">
        <v>2642</v>
      </c>
      <c r="P40" s="969"/>
      <c r="Q40" s="513"/>
      <c r="R40" s="513">
        <f t="shared" si="10"/>
        <v>0</v>
      </c>
      <c r="S40" s="513"/>
      <c r="T40" s="513"/>
      <c r="U40" s="513">
        <f t="shared" si="11"/>
        <v>0</v>
      </c>
      <c r="V40" s="513"/>
      <c r="W40" s="513">
        <v>562</v>
      </c>
      <c r="X40" s="513">
        <v>0</v>
      </c>
      <c r="Y40" s="970"/>
      <c r="AA40" s="964"/>
      <c r="AB40" s="758"/>
      <c r="AC40" s="999"/>
      <c r="AD40" s="709"/>
      <c r="AE40" s="1016"/>
    </row>
    <row r="41" spans="1:31" ht="15">
      <c r="A41" s="703" t="s">
        <v>7</v>
      </c>
      <c r="B41" s="977"/>
      <c r="C41" s="976"/>
      <c r="D41" s="705" t="s">
        <v>111</v>
      </c>
      <c r="E41" s="1047"/>
      <c r="F41" s="707"/>
      <c r="G41" s="705"/>
      <c r="H41" s="708">
        <f t="shared" si="7"/>
        <v>4623</v>
      </c>
      <c r="I41" s="708">
        <f t="shared" si="8"/>
        <v>4623</v>
      </c>
      <c r="J41" s="1029"/>
      <c r="K41" s="513"/>
      <c r="L41" s="513">
        <f t="shared" si="9"/>
        <v>0</v>
      </c>
      <c r="M41" s="513"/>
      <c r="N41" s="513">
        <v>3640</v>
      </c>
      <c r="O41" s="513">
        <v>4623</v>
      </c>
      <c r="P41" s="969"/>
      <c r="Q41" s="513"/>
      <c r="R41" s="513">
        <f t="shared" si="10"/>
        <v>0</v>
      </c>
      <c r="S41" s="513"/>
      <c r="T41" s="513"/>
      <c r="U41" s="513">
        <f t="shared" si="11"/>
        <v>0</v>
      </c>
      <c r="V41" s="513"/>
      <c r="W41" s="513">
        <v>983</v>
      </c>
      <c r="X41" s="513">
        <v>0</v>
      </c>
      <c r="Y41" s="970"/>
      <c r="AA41" s="964"/>
      <c r="AB41" s="758"/>
      <c r="AC41" s="999"/>
      <c r="AD41" s="709"/>
      <c r="AE41" s="1016"/>
    </row>
    <row r="42" spans="1:31" ht="15">
      <c r="A42" s="703" t="s">
        <v>8</v>
      </c>
      <c r="B42" s="977"/>
      <c r="C42" s="976"/>
      <c r="D42" s="705" t="s">
        <v>112</v>
      </c>
      <c r="E42" s="1047"/>
      <c r="F42" s="707"/>
      <c r="G42" s="705"/>
      <c r="H42" s="708">
        <f t="shared" si="7"/>
        <v>5283</v>
      </c>
      <c r="I42" s="708">
        <f t="shared" si="8"/>
        <v>5283</v>
      </c>
      <c r="J42" s="1029"/>
      <c r="K42" s="513"/>
      <c r="L42" s="513">
        <f t="shared" si="9"/>
        <v>0</v>
      </c>
      <c r="M42" s="513"/>
      <c r="N42" s="513">
        <v>4160</v>
      </c>
      <c r="O42" s="513">
        <v>5283</v>
      </c>
      <c r="P42" s="969"/>
      <c r="Q42" s="513"/>
      <c r="R42" s="513">
        <f t="shared" si="10"/>
        <v>0</v>
      </c>
      <c r="S42" s="513"/>
      <c r="T42" s="513"/>
      <c r="U42" s="513">
        <f t="shared" si="11"/>
        <v>0</v>
      </c>
      <c r="V42" s="513"/>
      <c r="W42" s="513">
        <v>1123</v>
      </c>
      <c r="X42" s="513">
        <v>0</v>
      </c>
      <c r="Y42" s="970"/>
      <c r="AA42" s="964"/>
      <c r="AB42" s="758"/>
      <c r="AC42" s="999"/>
      <c r="AD42" s="709"/>
      <c r="AE42" s="1016"/>
    </row>
    <row r="43" spans="1:31" ht="15">
      <c r="A43" s="703" t="s">
        <v>9</v>
      </c>
      <c r="B43" s="977"/>
      <c r="C43" s="976"/>
      <c r="D43" s="705" t="s">
        <v>113</v>
      </c>
      <c r="E43" s="1048"/>
      <c r="F43" s="707"/>
      <c r="G43" s="705"/>
      <c r="H43" s="708">
        <f t="shared" si="7"/>
        <v>2642</v>
      </c>
      <c r="I43" s="708">
        <f t="shared" si="8"/>
        <v>2642</v>
      </c>
      <c r="J43" s="1029"/>
      <c r="K43" s="513"/>
      <c r="L43" s="513">
        <f t="shared" si="9"/>
        <v>0</v>
      </c>
      <c r="M43" s="513"/>
      <c r="N43" s="513">
        <v>2080</v>
      </c>
      <c r="O43" s="513">
        <v>2642</v>
      </c>
      <c r="P43" s="969"/>
      <c r="Q43" s="513"/>
      <c r="R43" s="513">
        <f t="shared" si="10"/>
        <v>0</v>
      </c>
      <c r="S43" s="513"/>
      <c r="T43" s="513"/>
      <c r="U43" s="513">
        <f t="shared" si="11"/>
        <v>0</v>
      </c>
      <c r="V43" s="513"/>
      <c r="W43" s="513">
        <v>562</v>
      </c>
      <c r="X43" s="513">
        <v>0</v>
      </c>
      <c r="Y43" s="970"/>
      <c r="AA43" s="964"/>
      <c r="AB43" s="758"/>
      <c r="AC43" s="999"/>
      <c r="AD43" s="709"/>
      <c r="AE43" s="1016"/>
    </row>
    <row r="44" spans="1:31" ht="30">
      <c r="A44" s="703" t="s">
        <v>10</v>
      </c>
      <c r="B44" s="977"/>
      <c r="C44" s="976"/>
      <c r="D44" s="766" t="s">
        <v>114</v>
      </c>
      <c r="E44" s="706">
        <v>4020</v>
      </c>
      <c r="F44" s="707"/>
      <c r="G44" s="705"/>
      <c r="H44" s="708">
        <f t="shared" si="7"/>
        <v>9342</v>
      </c>
      <c r="I44" s="708">
        <f t="shared" si="8"/>
        <v>0</v>
      </c>
      <c r="J44" s="708">
        <f aca="true" t="shared" si="12" ref="J44:J52">+M44+P44+S44+V44+Y44</f>
        <v>0</v>
      </c>
      <c r="K44" s="513"/>
      <c r="L44" s="513">
        <f t="shared" si="9"/>
        <v>0</v>
      </c>
      <c r="M44" s="513"/>
      <c r="N44" s="513">
        <v>7356</v>
      </c>
      <c r="O44" s="513">
        <v>0</v>
      </c>
      <c r="P44" s="513"/>
      <c r="Q44" s="513"/>
      <c r="R44" s="513">
        <f t="shared" si="10"/>
        <v>0</v>
      </c>
      <c r="S44" s="513"/>
      <c r="T44" s="513"/>
      <c r="U44" s="513">
        <f t="shared" si="11"/>
        <v>0</v>
      </c>
      <c r="V44" s="513"/>
      <c r="W44" s="513">
        <v>1986</v>
      </c>
      <c r="X44" s="513">
        <v>0</v>
      </c>
      <c r="Y44" s="788"/>
      <c r="AA44" s="964"/>
      <c r="AB44" s="758"/>
      <c r="AC44" s="999"/>
      <c r="AD44" s="709"/>
      <c r="AE44" s="1016"/>
    </row>
    <row r="45" spans="1:31" ht="15.75">
      <c r="A45" s="703" t="s">
        <v>11</v>
      </c>
      <c r="B45" s="977"/>
      <c r="C45" s="976"/>
      <c r="D45" s="705" t="s">
        <v>115</v>
      </c>
      <c r="E45" s="706">
        <v>4021</v>
      </c>
      <c r="F45" s="707"/>
      <c r="G45" s="705"/>
      <c r="H45" s="708">
        <f t="shared" si="7"/>
        <v>6700</v>
      </c>
      <c r="I45" s="708">
        <f t="shared" si="8"/>
        <v>0</v>
      </c>
      <c r="J45" s="708">
        <f t="shared" si="12"/>
        <v>0</v>
      </c>
      <c r="K45" s="513"/>
      <c r="L45" s="513">
        <f t="shared" si="9"/>
        <v>0</v>
      </c>
      <c r="M45" s="513"/>
      <c r="N45" s="513">
        <v>5276</v>
      </c>
      <c r="O45" s="513">
        <v>0</v>
      </c>
      <c r="P45" s="513"/>
      <c r="Q45" s="513"/>
      <c r="R45" s="513">
        <f t="shared" si="10"/>
        <v>0</v>
      </c>
      <c r="S45" s="513"/>
      <c r="T45" s="513"/>
      <c r="U45" s="513">
        <f t="shared" si="11"/>
        <v>0</v>
      </c>
      <c r="V45" s="513"/>
      <c r="W45" s="513">
        <v>1424</v>
      </c>
      <c r="X45" s="513">
        <v>0</v>
      </c>
      <c r="Y45" s="788"/>
      <c r="AA45" s="964"/>
      <c r="AB45" s="758"/>
      <c r="AC45" s="999"/>
      <c r="AD45" s="709"/>
      <c r="AE45" s="1016"/>
    </row>
    <row r="46" spans="1:31" ht="15.75">
      <c r="A46" s="703" t="s">
        <v>57</v>
      </c>
      <c r="B46" s="977"/>
      <c r="C46" s="976"/>
      <c r="D46" s="705" t="s">
        <v>332</v>
      </c>
      <c r="E46" s="706">
        <v>4011</v>
      </c>
      <c r="F46" s="707"/>
      <c r="G46" s="705"/>
      <c r="H46" s="708">
        <f t="shared" si="7"/>
        <v>25000</v>
      </c>
      <c r="I46" s="708">
        <f t="shared" si="8"/>
        <v>25000</v>
      </c>
      <c r="J46" s="708">
        <f t="shared" si="12"/>
        <v>0</v>
      </c>
      <c r="K46" s="513"/>
      <c r="L46" s="513">
        <f t="shared" si="9"/>
        <v>0</v>
      </c>
      <c r="M46" s="513"/>
      <c r="N46" s="513">
        <v>19685</v>
      </c>
      <c r="O46" s="513">
        <v>25000</v>
      </c>
      <c r="P46" s="513"/>
      <c r="Q46" s="513"/>
      <c r="R46" s="513">
        <f t="shared" si="10"/>
        <v>0</v>
      </c>
      <c r="S46" s="513"/>
      <c r="T46" s="513"/>
      <c r="U46" s="513">
        <f t="shared" si="11"/>
        <v>0</v>
      </c>
      <c r="V46" s="513"/>
      <c r="W46" s="513">
        <v>5315</v>
      </c>
      <c r="X46" s="513">
        <v>0</v>
      </c>
      <c r="Y46" s="788"/>
      <c r="AA46" s="965"/>
      <c r="AB46" s="789"/>
      <c r="AC46" s="1000"/>
      <c r="AD46" s="790"/>
      <c r="AE46" s="1016"/>
    </row>
    <row r="47" spans="1:31" ht="15.75">
      <c r="A47" s="703" t="s">
        <v>58</v>
      </c>
      <c r="B47" s="977"/>
      <c r="C47" s="976"/>
      <c r="D47" s="959" t="s">
        <v>647</v>
      </c>
      <c r="E47" s="706" t="s">
        <v>557</v>
      </c>
      <c r="F47" s="707"/>
      <c r="G47" s="705"/>
      <c r="H47" s="708"/>
      <c r="I47" s="708">
        <f t="shared" si="8"/>
        <v>35254</v>
      </c>
      <c r="J47" s="708">
        <f t="shared" si="12"/>
        <v>29932</v>
      </c>
      <c r="K47" s="513"/>
      <c r="L47" s="513"/>
      <c r="M47" s="513"/>
      <c r="N47" s="513"/>
      <c r="O47" s="513">
        <v>28890</v>
      </c>
      <c r="P47" s="513">
        <f>18264+5305</f>
        <v>23569</v>
      </c>
      <c r="Q47" s="513"/>
      <c r="R47" s="513"/>
      <c r="S47" s="513"/>
      <c r="T47" s="513"/>
      <c r="U47" s="513"/>
      <c r="V47" s="513"/>
      <c r="W47" s="513"/>
      <c r="X47" s="513">
        <f>5681+683</f>
        <v>6364</v>
      </c>
      <c r="Y47" s="788">
        <f>4931+1432</f>
        <v>6363</v>
      </c>
      <c r="AA47" s="963">
        <v>3198</v>
      </c>
      <c r="AB47" s="789"/>
      <c r="AC47" s="760"/>
      <c r="AD47" s="790"/>
      <c r="AE47" s="761"/>
    </row>
    <row r="48" spans="1:31" ht="15.75">
      <c r="A48" s="703" t="s">
        <v>59</v>
      </c>
      <c r="B48" s="977"/>
      <c r="C48" s="976"/>
      <c r="D48" s="705" t="s">
        <v>504</v>
      </c>
      <c r="E48" s="706">
        <v>4065</v>
      </c>
      <c r="F48" s="707"/>
      <c r="G48" s="705"/>
      <c r="H48" s="708"/>
      <c r="I48" s="708">
        <f t="shared" si="8"/>
        <v>3413</v>
      </c>
      <c r="J48" s="708">
        <f t="shared" si="12"/>
        <v>3413</v>
      </c>
      <c r="K48" s="513"/>
      <c r="L48" s="513"/>
      <c r="M48" s="513"/>
      <c r="N48" s="513"/>
      <c r="O48" s="513">
        <v>2687</v>
      </c>
      <c r="P48" s="513">
        <v>2687</v>
      </c>
      <c r="Q48" s="513"/>
      <c r="R48" s="513"/>
      <c r="S48" s="513"/>
      <c r="T48" s="513"/>
      <c r="U48" s="513"/>
      <c r="V48" s="513"/>
      <c r="W48" s="513"/>
      <c r="X48" s="513">
        <v>726</v>
      </c>
      <c r="Y48" s="788">
        <v>726</v>
      </c>
      <c r="AA48" s="964"/>
      <c r="AB48" s="789"/>
      <c r="AC48" s="760"/>
      <c r="AD48" s="790"/>
      <c r="AE48" s="761"/>
    </row>
    <row r="49" spans="1:31" ht="15.75">
      <c r="A49" s="703" t="s">
        <v>60</v>
      </c>
      <c r="B49" s="977"/>
      <c r="C49" s="976"/>
      <c r="D49" s="705" t="s">
        <v>505</v>
      </c>
      <c r="E49" s="706">
        <v>4071</v>
      </c>
      <c r="F49" s="707"/>
      <c r="G49" s="705"/>
      <c r="H49" s="708"/>
      <c r="I49" s="708">
        <f t="shared" si="8"/>
        <v>0</v>
      </c>
      <c r="J49" s="708">
        <f t="shared" si="12"/>
        <v>0</v>
      </c>
      <c r="K49" s="513"/>
      <c r="L49" s="513"/>
      <c r="M49" s="513"/>
      <c r="N49" s="513"/>
      <c r="O49" s="513">
        <v>0</v>
      </c>
      <c r="P49" s="513"/>
      <c r="Q49" s="513"/>
      <c r="R49" s="513"/>
      <c r="S49" s="513"/>
      <c r="T49" s="513"/>
      <c r="U49" s="513"/>
      <c r="V49" s="513"/>
      <c r="W49" s="513"/>
      <c r="X49" s="513">
        <v>0</v>
      </c>
      <c r="Y49" s="788"/>
      <c r="AA49" s="964"/>
      <c r="AB49" s="789"/>
      <c r="AC49" s="760"/>
      <c r="AD49" s="790"/>
      <c r="AE49" s="761"/>
    </row>
    <row r="50" spans="1:31" ht="15.75">
      <c r="A50" s="703" t="s">
        <v>61</v>
      </c>
      <c r="B50" s="977"/>
      <c r="C50" s="976"/>
      <c r="D50" s="705" t="s">
        <v>506</v>
      </c>
      <c r="E50" s="706">
        <v>4011</v>
      </c>
      <c r="F50" s="707"/>
      <c r="G50" s="705"/>
      <c r="H50" s="708"/>
      <c r="I50" s="708">
        <f t="shared" si="8"/>
        <v>4000</v>
      </c>
      <c r="J50" s="708">
        <f t="shared" si="12"/>
        <v>0</v>
      </c>
      <c r="K50" s="513"/>
      <c r="L50" s="513"/>
      <c r="M50" s="513"/>
      <c r="N50" s="513"/>
      <c r="O50" s="513">
        <v>4000</v>
      </c>
      <c r="P50" s="513"/>
      <c r="Q50" s="513"/>
      <c r="R50" s="513"/>
      <c r="S50" s="513"/>
      <c r="T50" s="513"/>
      <c r="U50" s="513"/>
      <c r="V50" s="513"/>
      <c r="W50" s="513"/>
      <c r="X50" s="513">
        <v>0</v>
      </c>
      <c r="Y50" s="788"/>
      <c r="AA50" s="964"/>
      <c r="AB50" s="789"/>
      <c r="AC50" s="760"/>
      <c r="AD50" s="790"/>
      <c r="AE50" s="761"/>
    </row>
    <row r="51" spans="1:31" ht="15.75">
      <c r="A51" s="703" t="s">
        <v>62</v>
      </c>
      <c r="B51" s="977"/>
      <c r="C51" s="976"/>
      <c r="D51" s="705" t="s">
        <v>531</v>
      </c>
      <c r="E51" s="706">
        <v>4076</v>
      </c>
      <c r="F51" s="707"/>
      <c r="G51" s="705"/>
      <c r="H51" s="708"/>
      <c r="I51" s="708">
        <f>+L51+O51+R51+U51+X51</f>
        <v>984</v>
      </c>
      <c r="J51" s="708">
        <f>+M51+P51+S51+V51+Y51</f>
        <v>984</v>
      </c>
      <c r="K51" s="513"/>
      <c r="L51" s="513"/>
      <c r="M51" s="513"/>
      <c r="N51" s="513"/>
      <c r="O51" s="513">
        <v>775</v>
      </c>
      <c r="P51" s="513">
        <v>775</v>
      </c>
      <c r="Q51" s="513"/>
      <c r="R51" s="513"/>
      <c r="S51" s="513"/>
      <c r="T51" s="513"/>
      <c r="U51" s="513"/>
      <c r="V51" s="513"/>
      <c r="W51" s="513"/>
      <c r="X51" s="513">
        <v>209</v>
      </c>
      <c r="Y51" s="788">
        <v>209</v>
      </c>
      <c r="AA51" s="964"/>
      <c r="AB51" s="789"/>
      <c r="AC51" s="760"/>
      <c r="AD51" s="790"/>
      <c r="AE51" s="761"/>
    </row>
    <row r="52" spans="1:31" ht="15.75">
      <c r="A52" s="703" t="s">
        <v>63</v>
      </c>
      <c r="B52" s="977"/>
      <c r="C52" s="976"/>
      <c r="D52" s="705" t="s">
        <v>507</v>
      </c>
      <c r="E52" s="706">
        <v>4062</v>
      </c>
      <c r="F52" s="707"/>
      <c r="G52" s="705"/>
      <c r="H52" s="708"/>
      <c r="I52" s="708">
        <f t="shared" si="8"/>
        <v>508</v>
      </c>
      <c r="J52" s="708">
        <f t="shared" si="12"/>
        <v>508</v>
      </c>
      <c r="K52" s="513"/>
      <c r="L52" s="513"/>
      <c r="M52" s="513"/>
      <c r="N52" s="513"/>
      <c r="O52" s="513">
        <v>400</v>
      </c>
      <c r="P52" s="513">
        <v>400</v>
      </c>
      <c r="Q52" s="513"/>
      <c r="R52" s="513"/>
      <c r="S52" s="513"/>
      <c r="T52" s="513"/>
      <c r="U52" s="513"/>
      <c r="V52" s="513"/>
      <c r="W52" s="513"/>
      <c r="X52" s="513">
        <v>108</v>
      </c>
      <c r="Y52" s="788">
        <v>108</v>
      </c>
      <c r="AA52" s="965"/>
      <c r="AB52" s="789"/>
      <c r="AC52" s="760"/>
      <c r="AD52" s="790"/>
      <c r="AE52" s="761"/>
    </row>
    <row r="53" spans="1:31" ht="45">
      <c r="A53" s="768" t="s">
        <v>64</v>
      </c>
      <c r="B53" s="774" t="s">
        <v>532</v>
      </c>
      <c r="C53" s="775" t="s">
        <v>519</v>
      </c>
      <c r="D53" s="769" t="s">
        <v>648</v>
      </c>
      <c r="E53" s="777">
        <v>4072</v>
      </c>
      <c r="F53" s="778"/>
      <c r="G53" s="769"/>
      <c r="H53" s="779"/>
      <c r="I53" s="779">
        <f>+L53+O53+R53+U53+X53</f>
        <v>21533</v>
      </c>
      <c r="J53" s="779">
        <f>+M53+P53+S53+V53+Y53</f>
        <v>21251</v>
      </c>
      <c r="K53" s="518"/>
      <c r="L53" s="518"/>
      <c r="M53" s="518"/>
      <c r="N53" s="518"/>
      <c r="O53" s="518">
        <v>15987</v>
      </c>
      <c r="P53" s="518">
        <v>15922</v>
      </c>
      <c r="Q53" s="518"/>
      <c r="R53" s="518"/>
      <c r="S53" s="518"/>
      <c r="T53" s="518"/>
      <c r="U53" s="518">
        <v>1000</v>
      </c>
      <c r="V53" s="518">
        <v>811</v>
      </c>
      <c r="W53" s="518"/>
      <c r="X53" s="518">
        <v>4546</v>
      </c>
      <c r="Y53" s="791">
        <v>4518</v>
      </c>
      <c r="AA53" s="759"/>
      <c r="AB53" s="789"/>
      <c r="AC53" s="760"/>
      <c r="AD53" s="790"/>
      <c r="AE53" s="761"/>
    </row>
    <row r="54" spans="1:32" ht="26.25">
      <c r="A54" s="971"/>
      <c r="B54" s="972"/>
      <c r="C54" s="733"/>
      <c r="D54" s="792" t="s">
        <v>116</v>
      </c>
      <c r="E54" s="735"/>
      <c r="F54" s="516"/>
      <c r="G54" s="516"/>
      <c r="H54" s="516">
        <f>SUM(H35:H53)</f>
        <v>113403</v>
      </c>
      <c r="I54" s="516">
        <f>SUM(I35:I53)</f>
        <v>167109</v>
      </c>
      <c r="J54" s="516">
        <f aca="true" t="shared" si="13" ref="J54:Y54">SUM(J35:J53)</f>
        <v>161505</v>
      </c>
      <c r="K54" s="516">
        <f t="shared" si="13"/>
        <v>0</v>
      </c>
      <c r="L54" s="516">
        <f t="shared" si="13"/>
        <v>0</v>
      </c>
      <c r="M54" s="516">
        <f t="shared" si="13"/>
        <v>0</v>
      </c>
      <c r="N54" s="516">
        <f t="shared" si="13"/>
        <v>89294</v>
      </c>
      <c r="O54" s="516">
        <f t="shared" si="13"/>
        <v>151559</v>
      </c>
      <c r="P54" s="516">
        <f t="shared" si="13"/>
        <v>146173</v>
      </c>
      <c r="Q54" s="516">
        <f t="shared" si="13"/>
        <v>0</v>
      </c>
      <c r="R54" s="516">
        <f t="shared" si="13"/>
        <v>0</v>
      </c>
      <c r="S54" s="516">
        <f t="shared" si="13"/>
        <v>0</v>
      </c>
      <c r="T54" s="516">
        <f t="shared" si="13"/>
        <v>0</v>
      </c>
      <c r="U54" s="516">
        <f t="shared" si="13"/>
        <v>1000</v>
      </c>
      <c r="V54" s="516">
        <f t="shared" si="13"/>
        <v>811</v>
      </c>
      <c r="W54" s="516">
        <f t="shared" si="13"/>
        <v>24109</v>
      </c>
      <c r="X54" s="516">
        <f t="shared" si="13"/>
        <v>14550</v>
      </c>
      <c r="Y54" s="736">
        <f t="shared" si="13"/>
        <v>14521</v>
      </c>
      <c r="AA54" s="793">
        <f>SUM(AA47,AA35)</f>
        <v>23652</v>
      </c>
      <c r="AB54" s="794">
        <f>SUM(AB35)</f>
        <v>0</v>
      </c>
      <c r="AC54" s="794">
        <f>SUM(AC35)</f>
        <v>92949</v>
      </c>
      <c r="AD54" s="795"/>
      <c r="AE54" s="740"/>
      <c r="AF54" s="741">
        <f>SUM(AA54:AD54)</f>
        <v>116601</v>
      </c>
    </row>
    <row r="55" spans="1:31" s="695" customFormat="1" ht="15.75" customHeight="1">
      <c r="A55" s="962" t="s">
        <v>117</v>
      </c>
      <c r="B55" s="961"/>
      <c r="C55" s="961"/>
      <c r="D55" s="961"/>
      <c r="E55" s="961"/>
      <c r="F55" s="961"/>
      <c r="G55" s="961"/>
      <c r="H55" s="961"/>
      <c r="I55" s="961"/>
      <c r="J55" s="961"/>
      <c r="K55" s="961"/>
      <c r="L55" s="961"/>
      <c r="M55" s="961"/>
      <c r="N55" s="961"/>
      <c r="O55" s="961"/>
      <c r="P55" s="975"/>
      <c r="Q55" s="962" t="s">
        <v>117</v>
      </c>
      <c r="R55" s="961"/>
      <c r="S55" s="961"/>
      <c r="T55" s="961"/>
      <c r="U55" s="961"/>
      <c r="V55" s="961"/>
      <c r="W55" s="961"/>
      <c r="X55" s="961"/>
      <c r="Y55" s="975"/>
      <c r="AA55" s="1026"/>
      <c r="AB55" s="1026"/>
      <c r="AC55" s="1026"/>
      <c r="AD55" s="1026"/>
      <c r="AE55" s="796"/>
    </row>
    <row r="56" spans="1:31" s="807" customFormat="1" ht="15" customHeight="1">
      <c r="A56" s="797" t="s">
        <v>1</v>
      </c>
      <c r="B56" s="798" t="s">
        <v>342</v>
      </c>
      <c r="C56" s="966" t="s">
        <v>325</v>
      </c>
      <c r="D56" s="799" t="s">
        <v>118</v>
      </c>
      <c r="E56" s="800">
        <v>3340</v>
      </c>
      <c r="F56" s="801"/>
      <c r="G56" s="799"/>
      <c r="H56" s="802">
        <f aca="true" t="shared" si="14" ref="H56:H76">+K56+N56+Q56+T56+W56</f>
        <v>2450</v>
      </c>
      <c r="I56" s="802">
        <f aca="true" t="shared" si="15" ref="I56:I76">+L56+O56+R56+U56+X56</f>
        <v>2450</v>
      </c>
      <c r="J56" s="802">
        <f>+M56+P56+S56+V56+Y56</f>
        <v>2440</v>
      </c>
      <c r="K56" s="520"/>
      <c r="L56" s="520">
        <f>SUM(K56:K56)</f>
        <v>0</v>
      </c>
      <c r="M56" s="520"/>
      <c r="N56" s="520">
        <v>1929</v>
      </c>
      <c r="O56" s="520">
        <f>SUM(N56:N56)-1929</f>
        <v>0</v>
      </c>
      <c r="P56" s="520"/>
      <c r="Q56" s="520"/>
      <c r="R56" s="520">
        <f aca="true" t="shared" si="16" ref="R56:R76">SUM(Q56:Q56)</f>
        <v>0</v>
      </c>
      <c r="S56" s="520"/>
      <c r="T56" s="520"/>
      <c r="U56" s="803">
        <v>2450</v>
      </c>
      <c r="V56" s="803">
        <v>2440</v>
      </c>
      <c r="W56" s="804">
        <v>521</v>
      </c>
      <c r="X56" s="805">
        <f>SUM(W56:W56)-521</f>
        <v>0</v>
      </c>
      <c r="Y56" s="806"/>
      <c r="AA56" s="808">
        <v>2450</v>
      </c>
      <c r="AB56" s="809"/>
      <c r="AC56" s="809"/>
      <c r="AD56" s="810"/>
      <c r="AE56" s="811" t="s">
        <v>39</v>
      </c>
    </row>
    <row r="57" spans="1:31" ht="15.75">
      <c r="A57" s="703" t="s">
        <v>2</v>
      </c>
      <c r="B57" s="704" t="s">
        <v>326</v>
      </c>
      <c r="C57" s="967"/>
      <c r="D57" s="705" t="s">
        <v>119</v>
      </c>
      <c r="E57" s="706">
        <v>4027</v>
      </c>
      <c r="F57" s="707"/>
      <c r="G57" s="705"/>
      <c r="H57" s="708">
        <f t="shared" si="14"/>
        <v>1000</v>
      </c>
      <c r="I57" s="708">
        <f t="shared" si="15"/>
        <v>1000</v>
      </c>
      <c r="J57" s="708">
        <f>+M57+P57+S57+V57+Y57</f>
        <v>980</v>
      </c>
      <c r="K57" s="513">
        <v>787</v>
      </c>
      <c r="L57" s="513">
        <v>1000</v>
      </c>
      <c r="M57" s="513">
        <v>980</v>
      </c>
      <c r="N57" s="513"/>
      <c r="O57" s="513">
        <f>SUM(N57:N57)</f>
        <v>0</v>
      </c>
      <c r="P57" s="513"/>
      <c r="Q57" s="513"/>
      <c r="R57" s="513">
        <f t="shared" si="16"/>
        <v>0</v>
      </c>
      <c r="S57" s="513"/>
      <c r="T57" s="513"/>
      <c r="U57" s="812">
        <f aca="true" t="shared" si="17" ref="U57:U76">SUM(T57:T57)</f>
        <v>0</v>
      </c>
      <c r="V57" s="812"/>
      <c r="W57" s="513">
        <v>213</v>
      </c>
      <c r="X57" s="812">
        <v>0</v>
      </c>
      <c r="Y57" s="788"/>
      <c r="AA57" s="813">
        <v>1000</v>
      </c>
      <c r="AB57" s="705"/>
      <c r="AC57" s="705"/>
      <c r="AD57" s="709"/>
      <c r="AE57" s="814" t="s">
        <v>34</v>
      </c>
    </row>
    <row r="58" spans="1:31" ht="15.75">
      <c r="A58" s="703" t="s">
        <v>3</v>
      </c>
      <c r="B58" s="704" t="s">
        <v>326</v>
      </c>
      <c r="C58" s="967"/>
      <c r="D58" s="705" t="s">
        <v>121</v>
      </c>
      <c r="E58" s="706">
        <v>4028</v>
      </c>
      <c r="F58" s="707"/>
      <c r="G58" s="705"/>
      <c r="H58" s="708">
        <f t="shared" si="14"/>
        <v>500</v>
      </c>
      <c r="I58" s="708">
        <f t="shared" si="15"/>
        <v>0</v>
      </c>
      <c r="J58" s="708">
        <f aca="true" t="shared" si="18" ref="J58:J89">+M58+P58+S58+V58+Y58</f>
        <v>0</v>
      </c>
      <c r="K58" s="513">
        <v>394</v>
      </c>
      <c r="L58" s="513">
        <v>0</v>
      </c>
      <c r="M58" s="513"/>
      <c r="N58" s="513"/>
      <c r="O58" s="513">
        <f>SUM(N58:N58)</f>
        <v>0</v>
      </c>
      <c r="P58" s="513"/>
      <c r="Q58" s="513"/>
      <c r="R58" s="513">
        <f t="shared" si="16"/>
        <v>0</v>
      </c>
      <c r="S58" s="513"/>
      <c r="T58" s="513"/>
      <c r="U58" s="812">
        <f t="shared" si="17"/>
        <v>0</v>
      </c>
      <c r="V58" s="812"/>
      <c r="W58" s="513">
        <v>106</v>
      </c>
      <c r="X58" s="812">
        <v>0</v>
      </c>
      <c r="Y58" s="788"/>
      <c r="AA58" s="813">
        <v>0</v>
      </c>
      <c r="AB58" s="705"/>
      <c r="AC58" s="705"/>
      <c r="AD58" s="709"/>
      <c r="AE58" s="814" t="s">
        <v>34</v>
      </c>
    </row>
    <row r="59" spans="1:31" ht="30">
      <c r="A59" s="703" t="s">
        <v>4</v>
      </c>
      <c r="B59" s="704" t="s">
        <v>326</v>
      </c>
      <c r="C59" s="967"/>
      <c r="D59" s="766" t="s">
        <v>293</v>
      </c>
      <c r="E59" s="706">
        <v>4029</v>
      </c>
      <c r="F59" s="707"/>
      <c r="G59" s="705"/>
      <c r="H59" s="708">
        <f t="shared" si="14"/>
        <v>12000</v>
      </c>
      <c r="I59" s="708">
        <f t="shared" si="15"/>
        <v>22147</v>
      </c>
      <c r="J59" s="708">
        <f t="shared" si="18"/>
        <v>19492</v>
      </c>
      <c r="K59" s="513"/>
      <c r="L59" s="513">
        <v>1800</v>
      </c>
      <c r="M59" s="513">
        <v>1800</v>
      </c>
      <c r="N59" s="513">
        <f>2362+7087</f>
        <v>9449</v>
      </c>
      <c r="O59" s="513">
        <v>15639</v>
      </c>
      <c r="P59" s="513">
        <v>13548</v>
      </c>
      <c r="Q59" s="513"/>
      <c r="R59" s="513">
        <f t="shared" si="16"/>
        <v>0</v>
      </c>
      <c r="S59" s="513"/>
      <c r="T59" s="513"/>
      <c r="U59" s="812">
        <f t="shared" si="17"/>
        <v>0</v>
      </c>
      <c r="V59" s="812"/>
      <c r="W59" s="513">
        <f>638+1913</f>
        <v>2551</v>
      </c>
      <c r="X59" s="812">
        <v>4708</v>
      </c>
      <c r="Y59" s="788">
        <v>4144</v>
      </c>
      <c r="AA59" s="813">
        <v>22147</v>
      </c>
      <c r="AB59" s="705"/>
      <c r="AC59" s="705"/>
      <c r="AD59" s="709"/>
      <c r="AE59" s="814" t="s">
        <v>34</v>
      </c>
    </row>
    <row r="60" spans="1:31" ht="15.75">
      <c r="A60" s="703" t="s">
        <v>5</v>
      </c>
      <c r="B60" s="704" t="s">
        <v>326</v>
      </c>
      <c r="C60" s="967"/>
      <c r="D60" s="705" t="s">
        <v>123</v>
      </c>
      <c r="E60" s="706">
        <v>4030</v>
      </c>
      <c r="F60" s="707"/>
      <c r="G60" s="705"/>
      <c r="H60" s="708">
        <f t="shared" si="14"/>
        <v>25000</v>
      </c>
      <c r="I60" s="708">
        <f t="shared" si="15"/>
        <v>25000</v>
      </c>
      <c r="J60" s="708">
        <f t="shared" si="18"/>
        <v>24893</v>
      </c>
      <c r="K60" s="513"/>
      <c r="L60" s="513">
        <v>19685</v>
      </c>
      <c r="M60" s="513">
        <v>19600</v>
      </c>
      <c r="N60" s="513">
        <v>19685</v>
      </c>
      <c r="O60" s="513">
        <f>SUM(N60:N60)-19685</f>
        <v>0</v>
      </c>
      <c r="P60" s="513"/>
      <c r="Q60" s="513"/>
      <c r="R60" s="513">
        <f t="shared" si="16"/>
        <v>0</v>
      </c>
      <c r="S60" s="513"/>
      <c r="T60" s="513"/>
      <c r="U60" s="812">
        <f t="shared" si="17"/>
        <v>0</v>
      </c>
      <c r="V60" s="812"/>
      <c r="W60" s="513">
        <v>5315</v>
      </c>
      <c r="X60" s="812">
        <f>SUM(W60:W60)</f>
        <v>5315</v>
      </c>
      <c r="Y60" s="788">
        <f>5292+1</f>
        <v>5293</v>
      </c>
      <c r="AA60" s="813">
        <v>25000</v>
      </c>
      <c r="AB60" s="705"/>
      <c r="AC60" s="705"/>
      <c r="AD60" s="765"/>
      <c r="AE60" s="814" t="s">
        <v>34</v>
      </c>
    </row>
    <row r="61" spans="1:31" ht="15.75">
      <c r="A61" s="703" t="s">
        <v>6</v>
      </c>
      <c r="B61" s="704" t="s">
        <v>326</v>
      </c>
      <c r="C61" s="967"/>
      <c r="D61" s="815" t="s">
        <v>124</v>
      </c>
      <c r="E61" s="815">
        <v>4031</v>
      </c>
      <c r="F61" s="707"/>
      <c r="G61" s="705"/>
      <c r="H61" s="708">
        <f t="shared" si="14"/>
        <v>3810</v>
      </c>
      <c r="I61" s="708">
        <f t="shared" si="15"/>
        <v>3810</v>
      </c>
      <c r="J61" s="708">
        <f t="shared" si="18"/>
        <v>1905</v>
      </c>
      <c r="K61" s="513">
        <v>3000</v>
      </c>
      <c r="L61" s="513">
        <v>3000</v>
      </c>
      <c r="M61" s="513">
        <v>1500</v>
      </c>
      <c r="N61" s="513"/>
      <c r="O61" s="513">
        <f>SUM(N61:N61)</f>
        <v>0</v>
      </c>
      <c r="P61" s="513"/>
      <c r="Q61" s="513"/>
      <c r="R61" s="513">
        <f t="shared" si="16"/>
        <v>0</v>
      </c>
      <c r="S61" s="513"/>
      <c r="T61" s="513"/>
      <c r="U61" s="812">
        <f t="shared" si="17"/>
        <v>0</v>
      </c>
      <c r="V61" s="812"/>
      <c r="W61" s="513">
        <v>810</v>
      </c>
      <c r="X61" s="812">
        <f>SUM(W61:W61)</f>
        <v>810</v>
      </c>
      <c r="Y61" s="788">
        <v>405</v>
      </c>
      <c r="AA61" s="813">
        <v>3810</v>
      </c>
      <c r="AB61" s="705"/>
      <c r="AC61" s="705"/>
      <c r="AD61" s="709"/>
      <c r="AE61" s="814" t="s">
        <v>34</v>
      </c>
    </row>
    <row r="62" spans="1:31" ht="15.75">
      <c r="A62" s="703" t="s">
        <v>7</v>
      </c>
      <c r="B62" s="704" t="s">
        <v>342</v>
      </c>
      <c r="C62" s="967"/>
      <c r="D62" s="705" t="s">
        <v>282</v>
      </c>
      <c r="E62" s="815">
        <v>4023</v>
      </c>
      <c r="F62" s="707"/>
      <c r="G62" s="705"/>
      <c r="H62" s="708">
        <f>+K62+N62+Q62+T62+W62</f>
        <v>8000</v>
      </c>
      <c r="I62" s="708">
        <f>+L62+O62+R62+U62+X62</f>
        <v>33000</v>
      </c>
      <c r="J62" s="708">
        <f t="shared" si="18"/>
        <v>28391</v>
      </c>
      <c r="K62" s="513"/>
      <c r="L62" s="513"/>
      <c r="M62" s="513"/>
      <c r="N62" s="513">
        <v>6300</v>
      </c>
      <c r="O62" s="513">
        <v>31980</v>
      </c>
      <c r="P62" s="513">
        <v>28350</v>
      </c>
      <c r="Q62" s="513"/>
      <c r="R62" s="513"/>
      <c r="S62" s="513"/>
      <c r="T62" s="513"/>
      <c r="U62" s="812"/>
      <c r="V62" s="812"/>
      <c r="W62" s="513">
        <v>1700</v>
      </c>
      <c r="X62" s="812">
        <v>1020</v>
      </c>
      <c r="Y62" s="788">
        <v>41</v>
      </c>
      <c r="AA62" s="813">
        <v>8000</v>
      </c>
      <c r="AB62" s="705"/>
      <c r="AC62" s="705"/>
      <c r="AD62" s="709">
        <v>24000</v>
      </c>
      <c r="AE62" s="814" t="s">
        <v>39</v>
      </c>
    </row>
    <row r="63" spans="1:31" ht="15.75">
      <c r="A63" s="703" t="s">
        <v>374</v>
      </c>
      <c r="B63" s="704" t="s">
        <v>342</v>
      </c>
      <c r="C63" s="967"/>
      <c r="D63" s="705" t="s">
        <v>375</v>
      </c>
      <c r="E63" s="815">
        <v>3391</v>
      </c>
      <c r="F63" s="707"/>
      <c r="G63" s="705"/>
      <c r="H63" s="708">
        <f t="shared" si="14"/>
        <v>0</v>
      </c>
      <c r="I63" s="708">
        <f t="shared" si="15"/>
        <v>1600</v>
      </c>
      <c r="J63" s="708">
        <f t="shared" si="18"/>
        <v>1600</v>
      </c>
      <c r="K63" s="513"/>
      <c r="L63" s="513">
        <f>SUM(K63:K63)</f>
        <v>0</v>
      </c>
      <c r="M63" s="513"/>
      <c r="N63" s="513"/>
      <c r="O63" s="513">
        <v>1600</v>
      </c>
      <c r="P63" s="513">
        <v>1600</v>
      </c>
      <c r="Q63" s="513"/>
      <c r="R63" s="513">
        <f t="shared" si="16"/>
        <v>0</v>
      </c>
      <c r="S63" s="513"/>
      <c r="T63" s="513"/>
      <c r="U63" s="812">
        <f t="shared" si="17"/>
        <v>0</v>
      </c>
      <c r="V63" s="812"/>
      <c r="W63" s="757"/>
      <c r="X63" s="812"/>
      <c r="Y63" s="788"/>
      <c r="AA63" s="813">
        <v>1600</v>
      </c>
      <c r="AB63" s="705"/>
      <c r="AC63" s="705"/>
      <c r="AD63" s="765"/>
      <c r="AE63" s="816" t="s">
        <v>39</v>
      </c>
    </row>
    <row r="64" spans="1:31" ht="15.75">
      <c r="A64" s="703" t="s">
        <v>8</v>
      </c>
      <c r="B64" s="704" t="s">
        <v>342</v>
      </c>
      <c r="C64" s="967"/>
      <c r="D64" s="705" t="s">
        <v>284</v>
      </c>
      <c r="E64" s="815">
        <v>4024</v>
      </c>
      <c r="F64" s="707"/>
      <c r="G64" s="705"/>
      <c r="H64" s="708">
        <f t="shared" si="14"/>
        <v>4000</v>
      </c>
      <c r="I64" s="708">
        <f t="shared" si="15"/>
        <v>4000</v>
      </c>
      <c r="J64" s="708">
        <f t="shared" si="18"/>
        <v>3607</v>
      </c>
      <c r="K64" s="513"/>
      <c r="L64" s="513">
        <f>SUM(K64:K64)</f>
        <v>0</v>
      </c>
      <c r="M64" s="513"/>
      <c r="N64" s="513"/>
      <c r="O64" s="513">
        <f>SUM(N64:N64)</f>
        <v>0</v>
      </c>
      <c r="P64" s="513"/>
      <c r="Q64" s="513"/>
      <c r="R64" s="513">
        <f t="shared" si="16"/>
        <v>0</v>
      </c>
      <c r="S64" s="513"/>
      <c r="T64" s="513">
        <v>3150</v>
      </c>
      <c r="U64" s="812">
        <f t="shared" si="17"/>
        <v>3150</v>
      </c>
      <c r="V64" s="812">
        <v>2859</v>
      </c>
      <c r="W64" s="757">
        <v>850</v>
      </c>
      <c r="X64" s="812">
        <f>SUM(W64:W64)</f>
        <v>850</v>
      </c>
      <c r="Y64" s="788">
        <v>748</v>
      </c>
      <c r="AA64" s="813">
        <v>4000</v>
      </c>
      <c r="AB64" s="705"/>
      <c r="AC64" s="705"/>
      <c r="AD64" s="709"/>
      <c r="AE64" s="816" t="s">
        <v>39</v>
      </c>
    </row>
    <row r="65" spans="1:31" ht="15.75">
      <c r="A65" s="703" t="s">
        <v>9</v>
      </c>
      <c r="B65" s="704" t="s">
        <v>342</v>
      </c>
      <c r="C65" s="967"/>
      <c r="D65" s="705" t="s">
        <v>129</v>
      </c>
      <c r="E65" s="815">
        <v>4025</v>
      </c>
      <c r="F65" s="707"/>
      <c r="G65" s="705"/>
      <c r="H65" s="708">
        <f t="shared" si="14"/>
        <v>8300</v>
      </c>
      <c r="I65" s="708">
        <f t="shared" si="15"/>
        <v>8300</v>
      </c>
      <c r="J65" s="708">
        <f t="shared" si="18"/>
        <v>7500</v>
      </c>
      <c r="K65" s="513"/>
      <c r="L65" s="513">
        <f>SUM(K65:K65)</f>
        <v>0</v>
      </c>
      <c r="M65" s="513"/>
      <c r="N65" s="513"/>
      <c r="O65" s="513">
        <f>SUM(N65:N65)</f>
        <v>0</v>
      </c>
      <c r="P65" s="513"/>
      <c r="Q65" s="513"/>
      <c r="R65" s="513">
        <f t="shared" si="16"/>
        <v>0</v>
      </c>
      <c r="S65" s="513"/>
      <c r="T65" s="513">
        <v>6535</v>
      </c>
      <c r="U65" s="812">
        <f t="shared" si="17"/>
        <v>6535</v>
      </c>
      <c r="V65" s="812">
        <v>5906</v>
      </c>
      <c r="W65" s="513">
        <v>1765</v>
      </c>
      <c r="X65" s="812">
        <f>SUM(W65:W65)</f>
        <v>1765</v>
      </c>
      <c r="Y65" s="788">
        <v>1594</v>
      </c>
      <c r="AA65" s="813">
        <v>8300</v>
      </c>
      <c r="AB65" s="705"/>
      <c r="AC65" s="705"/>
      <c r="AD65" s="709"/>
      <c r="AE65" s="816" t="s">
        <v>39</v>
      </c>
    </row>
    <row r="66" spans="1:31" ht="15.75">
      <c r="A66" s="703" t="s">
        <v>10</v>
      </c>
      <c r="B66" s="704" t="s">
        <v>342</v>
      </c>
      <c r="C66" s="967"/>
      <c r="D66" s="705" t="s">
        <v>291</v>
      </c>
      <c r="E66" s="815">
        <v>4026</v>
      </c>
      <c r="F66" s="707"/>
      <c r="G66" s="705"/>
      <c r="H66" s="708">
        <f t="shared" si="14"/>
        <v>6000</v>
      </c>
      <c r="I66" s="708">
        <f t="shared" si="15"/>
        <v>6986</v>
      </c>
      <c r="J66" s="708">
        <f t="shared" si="18"/>
        <v>6787</v>
      </c>
      <c r="K66" s="513"/>
      <c r="L66" s="513">
        <f>SUM(K66:K66)</f>
        <v>0</v>
      </c>
      <c r="M66" s="513"/>
      <c r="N66" s="513">
        <v>4724</v>
      </c>
      <c r="O66" s="513">
        <v>4437</v>
      </c>
      <c r="P66" s="513">
        <f>4436+1</f>
        <v>4437</v>
      </c>
      <c r="Q66" s="513"/>
      <c r="R66" s="513">
        <f t="shared" si="16"/>
        <v>0</v>
      </c>
      <c r="S66" s="513"/>
      <c r="T66" s="513"/>
      <c r="U66" s="812">
        <v>1063</v>
      </c>
      <c r="V66" s="812">
        <f>908-1</f>
        <v>907</v>
      </c>
      <c r="W66" s="513">
        <v>1276</v>
      </c>
      <c r="X66" s="812">
        <f>1487-1</f>
        <v>1486</v>
      </c>
      <c r="Y66" s="788">
        <f>1443</f>
        <v>1443</v>
      </c>
      <c r="AA66" s="813">
        <v>6185</v>
      </c>
      <c r="AB66" s="705"/>
      <c r="AC66" s="705"/>
      <c r="AD66" s="709"/>
      <c r="AE66" s="816" t="s">
        <v>39</v>
      </c>
    </row>
    <row r="67" spans="1:31" ht="15.75">
      <c r="A67" s="703" t="s">
        <v>11</v>
      </c>
      <c r="B67" s="704" t="s">
        <v>326</v>
      </c>
      <c r="C67" s="967"/>
      <c r="D67" s="705" t="s">
        <v>360</v>
      </c>
      <c r="E67" s="815">
        <v>3308</v>
      </c>
      <c r="F67" s="707"/>
      <c r="G67" s="705"/>
      <c r="H67" s="708">
        <f aca="true" t="shared" si="19" ref="H67:I71">+K67+N67+Q67+T67+W67</f>
        <v>0</v>
      </c>
      <c r="I67" s="708">
        <f t="shared" si="19"/>
        <v>572</v>
      </c>
      <c r="J67" s="708">
        <f t="shared" si="18"/>
        <v>572</v>
      </c>
      <c r="K67" s="513"/>
      <c r="L67" s="513"/>
      <c r="M67" s="513"/>
      <c r="N67" s="513"/>
      <c r="O67" s="513">
        <v>450</v>
      </c>
      <c r="P67" s="513">
        <v>450</v>
      </c>
      <c r="Q67" s="513"/>
      <c r="R67" s="513"/>
      <c r="S67" s="513"/>
      <c r="T67" s="513"/>
      <c r="U67" s="812"/>
      <c r="V67" s="812"/>
      <c r="W67" s="513"/>
      <c r="X67" s="812">
        <v>122</v>
      </c>
      <c r="Y67" s="788">
        <v>122</v>
      </c>
      <c r="AA67" s="813">
        <v>572</v>
      </c>
      <c r="AB67" s="705"/>
      <c r="AC67" s="705"/>
      <c r="AD67" s="709"/>
      <c r="AE67" s="816" t="s">
        <v>34</v>
      </c>
    </row>
    <row r="68" spans="1:31" ht="15.75">
      <c r="A68" s="703" t="s">
        <v>510</v>
      </c>
      <c r="B68" s="704" t="s">
        <v>326</v>
      </c>
      <c r="C68" s="967"/>
      <c r="D68" s="705" t="s">
        <v>511</v>
      </c>
      <c r="E68" s="815">
        <v>4066</v>
      </c>
      <c r="F68" s="707"/>
      <c r="G68" s="705"/>
      <c r="H68" s="708"/>
      <c r="I68" s="708">
        <f t="shared" si="19"/>
        <v>2000</v>
      </c>
      <c r="J68" s="708">
        <f t="shared" si="18"/>
        <v>1599</v>
      </c>
      <c r="K68" s="513"/>
      <c r="L68" s="513"/>
      <c r="M68" s="513"/>
      <c r="N68" s="513"/>
      <c r="O68" s="513">
        <v>1575</v>
      </c>
      <c r="P68" s="513">
        <v>1259</v>
      </c>
      <c r="Q68" s="513"/>
      <c r="R68" s="513"/>
      <c r="S68" s="513"/>
      <c r="T68" s="513"/>
      <c r="U68" s="812"/>
      <c r="V68" s="812"/>
      <c r="W68" s="513"/>
      <c r="X68" s="812">
        <v>425</v>
      </c>
      <c r="Y68" s="788">
        <v>340</v>
      </c>
      <c r="AA68" s="813"/>
      <c r="AB68" s="705"/>
      <c r="AC68" s="705"/>
      <c r="AD68" s="709"/>
      <c r="AE68" s="816"/>
    </row>
    <row r="69" spans="1:31" ht="15.75">
      <c r="A69" s="703" t="s">
        <v>57</v>
      </c>
      <c r="B69" s="704" t="s">
        <v>342</v>
      </c>
      <c r="C69" s="967"/>
      <c r="D69" s="705" t="s">
        <v>361</v>
      </c>
      <c r="E69" s="815">
        <v>3389</v>
      </c>
      <c r="F69" s="707"/>
      <c r="G69" s="705"/>
      <c r="H69" s="708">
        <f t="shared" si="19"/>
        <v>0</v>
      </c>
      <c r="I69" s="708">
        <f t="shared" si="19"/>
        <v>402</v>
      </c>
      <c r="J69" s="708">
        <f t="shared" si="18"/>
        <v>402</v>
      </c>
      <c r="K69" s="513"/>
      <c r="L69" s="513">
        <v>402</v>
      </c>
      <c r="M69" s="513">
        <v>402</v>
      </c>
      <c r="N69" s="513"/>
      <c r="O69" s="513"/>
      <c r="P69" s="513"/>
      <c r="Q69" s="513"/>
      <c r="R69" s="513"/>
      <c r="S69" s="513"/>
      <c r="T69" s="513"/>
      <c r="U69" s="812"/>
      <c r="V69" s="812"/>
      <c r="W69" s="513"/>
      <c r="X69" s="812"/>
      <c r="Y69" s="788"/>
      <c r="AA69" s="813">
        <v>402</v>
      </c>
      <c r="AB69" s="705"/>
      <c r="AC69" s="705"/>
      <c r="AD69" s="709"/>
      <c r="AE69" s="816" t="s">
        <v>39</v>
      </c>
    </row>
    <row r="70" spans="1:31" ht="30">
      <c r="A70" s="703" t="s">
        <v>58</v>
      </c>
      <c r="B70" s="704" t="s">
        <v>326</v>
      </c>
      <c r="C70" s="967"/>
      <c r="D70" s="766" t="s">
        <v>403</v>
      </c>
      <c r="E70" s="815">
        <v>4040</v>
      </c>
      <c r="F70" s="707"/>
      <c r="G70" s="705"/>
      <c r="H70" s="708">
        <f t="shared" si="19"/>
        <v>0</v>
      </c>
      <c r="I70" s="708">
        <f t="shared" si="19"/>
        <v>116257</v>
      </c>
      <c r="J70" s="708">
        <f t="shared" si="18"/>
        <v>116818</v>
      </c>
      <c r="K70" s="513"/>
      <c r="L70" s="513"/>
      <c r="M70" s="513"/>
      <c r="N70" s="513"/>
      <c r="O70" s="513">
        <v>111411</v>
      </c>
      <c r="P70" s="513">
        <v>112056</v>
      </c>
      <c r="Q70" s="513"/>
      <c r="R70" s="513"/>
      <c r="S70" s="513"/>
      <c r="T70" s="513"/>
      <c r="U70" s="812"/>
      <c r="V70" s="812"/>
      <c r="W70" s="513"/>
      <c r="X70" s="812">
        <v>4846</v>
      </c>
      <c r="Y70" s="788">
        <v>4762</v>
      </c>
      <c r="AA70" s="813">
        <v>138398</v>
      </c>
      <c r="AB70" s="705"/>
      <c r="AC70" s="705"/>
      <c r="AD70" s="709"/>
      <c r="AE70" s="816" t="s">
        <v>34</v>
      </c>
    </row>
    <row r="71" spans="1:31" ht="15.75">
      <c r="A71" s="703" t="s">
        <v>509</v>
      </c>
      <c r="B71" s="704" t="s">
        <v>326</v>
      </c>
      <c r="C71" s="968"/>
      <c r="D71" s="766" t="s">
        <v>512</v>
      </c>
      <c r="E71" s="815">
        <v>4064</v>
      </c>
      <c r="F71" s="707"/>
      <c r="G71" s="705"/>
      <c r="H71" s="708"/>
      <c r="I71" s="708">
        <f t="shared" si="19"/>
        <v>5000</v>
      </c>
      <c r="J71" s="708"/>
      <c r="K71" s="513"/>
      <c r="L71" s="513"/>
      <c r="M71" s="513"/>
      <c r="N71" s="513"/>
      <c r="O71" s="513">
        <v>3937</v>
      </c>
      <c r="P71" s="513"/>
      <c r="Q71" s="513"/>
      <c r="R71" s="513"/>
      <c r="S71" s="513"/>
      <c r="T71" s="513"/>
      <c r="U71" s="812"/>
      <c r="V71" s="812"/>
      <c r="W71" s="513"/>
      <c r="X71" s="812">
        <v>1063</v>
      </c>
      <c r="Y71" s="788"/>
      <c r="AA71" s="813">
        <v>5000</v>
      </c>
      <c r="AB71" s="705"/>
      <c r="AC71" s="705"/>
      <c r="AD71" s="709"/>
      <c r="AE71" s="816"/>
    </row>
    <row r="72" spans="1:31" ht="30">
      <c r="A72" s="703" t="s">
        <v>59</v>
      </c>
      <c r="B72" s="704" t="s">
        <v>331</v>
      </c>
      <c r="C72" s="756" t="s">
        <v>286</v>
      </c>
      <c r="D72" s="817" t="s">
        <v>333</v>
      </c>
      <c r="E72" s="815">
        <v>4032</v>
      </c>
      <c r="F72" s="707"/>
      <c r="G72" s="705"/>
      <c r="H72" s="708">
        <f t="shared" si="14"/>
        <v>50000</v>
      </c>
      <c r="I72" s="708">
        <f t="shared" si="15"/>
        <v>0</v>
      </c>
      <c r="J72" s="708">
        <f t="shared" si="18"/>
        <v>0</v>
      </c>
      <c r="K72" s="513"/>
      <c r="L72" s="513">
        <f>SUM(K72:K72)</f>
        <v>0</v>
      </c>
      <c r="M72" s="513"/>
      <c r="N72" s="513">
        <v>39370</v>
      </c>
      <c r="O72" s="513">
        <v>0</v>
      </c>
      <c r="P72" s="513"/>
      <c r="Q72" s="513"/>
      <c r="R72" s="513">
        <f t="shared" si="16"/>
        <v>0</v>
      </c>
      <c r="S72" s="513"/>
      <c r="T72" s="513"/>
      <c r="U72" s="812">
        <f t="shared" si="17"/>
        <v>0</v>
      </c>
      <c r="V72" s="812"/>
      <c r="W72" s="513">
        <v>10630</v>
      </c>
      <c r="X72" s="812">
        <v>0</v>
      </c>
      <c r="Y72" s="788"/>
      <c r="AA72" s="813">
        <v>50000</v>
      </c>
      <c r="AB72" s="705"/>
      <c r="AC72" s="705"/>
      <c r="AD72" s="765"/>
      <c r="AE72" s="814" t="s">
        <v>34</v>
      </c>
    </row>
    <row r="73" spans="1:31" ht="57" customHeight="1">
      <c r="A73" s="703" t="s">
        <v>60</v>
      </c>
      <c r="B73" s="704" t="s">
        <v>381</v>
      </c>
      <c r="C73" s="818" t="s">
        <v>267</v>
      </c>
      <c r="D73" s="819" t="s">
        <v>120</v>
      </c>
      <c r="E73" s="815">
        <v>4033</v>
      </c>
      <c r="F73" s="707"/>
      <c r="G73" s="705"/>
      <c r="H73" s="708">
        <f t="shared" si="14"/>
        <v>1000</v>
      </c>
      <c r="I73" s="708">
        <f t="shared" si="15"/>
        <v>1000</v>
      </c>
      <c r="J73" s="708">
        <f t="shared" si="18"/>
        <v>960</v>
      </c>
      <c r="K73" s="513">
        <v>787</v>
      </c>
      <c r="L73" s="513">
        <v>1000</v>
      </c>
      <c r="M73" s="513">
        <v>960</v>
      </c>
      <c r="N73" s="513"/>
      <c r="O73" s="513">
        <f>SUM(N73:N73)</f>
        <v>0</v>
      </c>
      <c r="P73" s="513"/>
      <c r="Q73" s="513"/>
      <c r="R73" s="513">
        <f t="shared" si="16"/>
        <v>0</v>
      </c>
      <c r="S73" s="513"/>
      <c r="T73" s="513"/>
      <c r="U73" s="812">
        <f t="shared" si="17"/>
        <v>0</v>
      </c>
      <c r="V73" s="812"/>
      <c r="W73" s="513">
        <v>213</v>
      </c>
      <c r="X73" s="812">
        <v>0</v>
      </c>
      <c r="Y73" s="788"/>
      <c r="AA73" s="813">
        <v>1000</v>
      </c>
      <c r="AB73" s="705"/>
      <c r="AC73" s="705"/>
      <c r="AD73" s="709"/>
      <c r="AE73" s="814" t="s">
        <v>34</v>
      </c>
    </row>
    <row r="74" spans="1:31" ht="15.75">
      <c r="A74" s="703" t="s">
        <v>61</v>
      </c>
      <c r="B74" s="704" t="s">
        <v>330</v>
      </c>
      <c r="C74" s="976" t="s">
        <v>268</v>
      </c>
      <c r="D74" s="705" t="s">
        <v>130</v>
      </c>
      <c r="E74" s="815">
        <v>4034</v>
      </c>
      <c r="F74" s="707"/>
      <c r="G74" s="705"/>
      <c r="H74" s="708">
        <f t="shared" si="14"/>
        <v>1000</v>
      </c>
      <c r="I74" s="708">
        <f t="shared" si="15"/>
        <v>5000</v>
      </c>
      <c r="J74" s="708">
        <f t="shared" si="18"/>
        <v>4955</v>
      </c>
      <c r="K74" s="513"/>
      <c r="L74" s="513">
        <f>SUM(K74:K74)</f>
        <v>0</v>
      </c>
      <c r="M74" s="513"/>
      <c r="N74" s="513">
        <v>787</v>
      </c>
      <c r="O74" s="513">
        <v>3937</v>
      </c>
      <c r="P74" s="513">
        <v>3902</v>
      </c>
      <c r="Q74" s="513"/>
      <c r="R74" s="513">
        <f t="shared" si="16"/>
        <v>0</v>
      </c>
      <c r="S74" s="513"/>
      <c r="T74" s="513"/>
      <c r="U74" s="812">
        <f t="shared" si="17"/>
        <v>0</v>
      </c>
      <c r="V74" s="812"/>
      <c r="W74" s="513">
        <v>213</v>
      </c>
      <c r="X74" s="812">
        <v>1063</v>
      </c>
      <c r="Y74" s="788">
        <f>1054-1</f>
        <v>1053</v>
      </c>
      <c r="AA74" s="813">
        <v>1000</v>
      </c>
      <c r="AB74" s="705"/>
      <c r="AC74" s="705"/>
      <c r="AD74" s="709"/>
      <c r="AE74" s="814" t="s">
        <v>34</v>
      </c>
    </row>
    <row r="75" spans="1:31" ht="15.75">
      <c r="A75" s="703" t="s">
        <v>62</v>
      </c>
      <c r="B75" s="704" t="s">
        <v>330</v>
      </c>
      <c r="C75" s="976"/>
      <c r="D75" s="766" t="s">
        <v>131</v>
      </c>
      <c r="E75" s="815">
        <v>4035</v>
      </c>
      <c r="F75" s="707"/>
      <c r="G75" s="705"/>
      <c r="H75" s="708">
        <f t="shared" si="14"/>
        <v>3000</v>
      </c>
      <c r="I75" s="708">
        <f t="shared" si="15"/>
        <v>3000</v>
      </c>
      <c r="J75" s="708">
        <f t="shared" si="18"/>
        <v>2993</v>
      </c>
      <c r="K75" s="513"/>
      <c r="L75" s="513">
        <f>SUM(K75:K75)</f>
        <v>0</v>
      </c>
      <c r="M75" s="513"/>
      <c r="N75" s="513">
        <v>2362</v>
      </c>
      <c r="O75" s="513">
        <f>SUM(N75:N75)</f>
        <v>2362</v>
      </c>
      <c r="P75" s="513">
        <v>2356</v>
      </c>
      <c r="Q75" s="513"/>
      <c r="R75" s="513">
        <f t="shared" si="16"/>
        <v>0</v>
      </c>
      <c r="S75" s="513"/>
      <c r="T75" s="513"/>
      <c r="U75" s="812">
        <f t="shared" si="17"/>
        <v>0</v>
      </c>
      <c r="V75" s="812"/>
      <c r="W75" s="513">
        <v>638</v>
      </c>
      <c r="X75" s="812">
        <f>SUM(W75:W75)</f>
        <v>638</v>
      </c>
      <c r="Y75" s="788">
        <f>636+1</f>
        <v>637</v>
      </c>
      <c r="AA75" s="813">
        <v>3000</v>
      </c>
      <c r="AB75" s="705"/>
      <c r="AC75" s="705"/>
      <c r="AD75" s="709"/>
      <c r="AE75" s="814" t="s">
        <v>34</v>
      </c>
    </row>
    <row r="76" spans="1:31" ht="15.75">
      <c r="A76" s="703" t="s">
        <v>63</v>
      </c>
      <c r="B76" s="820" t="s">
        <v>330</v>
      </c>
      <c r="C76" s="976"/>
      <c r="D76" s="821" t="s">
        <v>122</v>
      </c>
      <c r="E76" s="815">
        <v>4036</v>
      </c>
      <c r="F76" s="822"/>
      <c r="G76" s="821"/>
      <c r="H76" s="823">
        <f t="shared" si="14"/>
        <v>4000</v>
      </c>
      <c r="I76" s="823">
        <f t="shared" si="15"/>
        <v>0</v>
      </c>
      <c r="J76" s="708">
        <f t="shared" si="18"/>
        <v>0</v>
      </c>
      <c r="K76" s="519"/>
      <c r="L76" s="519">
        <f>SUM(K76:K76)</f>
        <v>0</v>
      </c>
      <c r="M76" s="519"/>
      <c r="N76" s="519">
        <v>3150</v>
      </c>
      <c r="O76" s="519">
        <v>0</v>
      </c>
      <c r="P76" s="519"/>
      <c r="Q76" s="519"/>
      <c r="R76" s="519">
        <f t="shared" si="16"/>
        <v>0</v>
      </c>
      <c r="S76" s="519"/>
      <c r="T76" s="519"/>
      <c r="U76" s="824">
        <f t="shared" si="17"/>
        <v>0</v>
      </c>
      <c r="V76" s="824"/>
      <c r="W76" s="519">
        <v>850</v>
      </c>
      <c r="X76" s="824">
        <v>0</v>
      </c>
      <c r="Y76" s="788"/>
      <c r="AA76" s="813">
        <v>4000</v>
      </c>
      <c r="AB76" s="705"/>
      <c r="AC76" s="705"/>
      <c r="AD76" s="765"/>
      <c r="AE76" s="814" t="s">
        <v>34</v>
      </c>
    </row>
    <row r="77" spans="1:31" ht="30">
      <c r="A77" s="703" t="s">
        <v>64</v>
      </c>
      <c r="B77" s="820" t="s">
        <v>347</v>
      </c>
      <c r="C77" s="756" t="s">
        <v>383</v>
      </c>
      <c r="D77" s="821" t="s">
        <v>384</v>
      </c>
      <c r="E77" s="815">
        <v>4041</v>
      </c>
      <c r="F77" s="822"/>
      <c r="G77" s="821"/>
      <c r="H77" s="823">
        <f aca="true" t="shared" si="20" ref="H77:I79">+K77+N77+Q77+T77+W77</f>
        <v>0</v>
      </c>
      <c r="I77" s="823">
        <f t="shared" si="20"/>
        <v>651</v>
      </c>
      <c r="J77" s="708">
        <f t="shared" si="18"/>
        <v>629</v>
      </c>
      <c r="K77" s="519"/>
      <c r="L77" s="519"/>
      <c r="M77" s="519"/>
      <c r="N77" s="519"/>
      <c r="O77" s="519"/>
      <c r="P77" s="519"/>
      <c r="Q77" s="519"/>
      <c r="R77" s="519">
        <v>150</v>
      </c>
      <c r="S77" s="519">
        <f>132+1</f>
        <v>133</v>
      </c>
      <c r="T77" s="519"/>
      <c r="U77" s="824">
        <v>419</v>
      </c>
      <c r="V77" s="824">
        <v>418</v>
      </c>
      <c r="W77" s="519"/>
      <c r="X77" s="824">
        <v>82</v>
      </c>
      <c r="Y77" s="788">
        <f>79-1</f>
        <v>78</v>
      </c>
      <c r="AA77" s="813">
        <v>407</v>
      </c>
      <c r="AB77" s="705"/>
      <c r="AC77" s="705"/>
      <c r="AD77" s="765"/>
      <c r="AE77" s="814"/>
    </row>
    <row r="78" spans="1:31" ht="57" customHeight="1">
      <c r="A78" s="703" t="s">
        <v>65</v>
      </c>
      <c r="B78" s="704" t="s">
        <v>327</v>
      </c>
      <c r="C78" s="1024" t="s">
        <v>362</v>
      </c>
      <c r="D78" s="819" t="s">
        <v>363</v>
      </c>
      <c r="E78" s="815">
        <v>4038</v>
      </c>
      <c r="F78" s="707"/>
      <c r="G78" s="705"/>
      <c r="H78" s="708">
        <f t="shared" si="20"/>
        <v>0</v>
      </c>
      <c r="I78" s="708">
        <f t="shared" si="20"/>
        <v>245</v>
      </c>
      <c r="J78" s="708">
        <f t="shared" si="18"/>
        <v>245</v>
      </c>
      <c r="K78" s="513"/>
      <c r="L78" s="513">
        <v>245</v>
      </c>
      <c r="M78" s="513">
        <v>245</v>
      </c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812"/>
      <c r="Y78" s="788"/>
      <c r="AA78" s="813">
        <v>245</v>
      </c>
      <c r="AB78" s="705"/>
      <c r="AC78" s="705"/>
      <c r="AD78" s="709"/>
      <c r="AE78" s="814" t="s">
        <v>34</v>
      </c>
    </row>
    <row r="79" spans="1:31" ht="57" customHeight="1">
      <c r="A79" s="703" t="s">
        <v>486</v>
      </c>
      <c r="B79" s="820" t="s">
        <v>346</v>
      </c>
      <c r="C79" s="1025"/>
      <c r="D79" s="826" t="s">
        <v>487</v>
      </c>
      <c r="E79" s="815">
        <v>4044</v>
      </c>
      <c r="F79" s="822"/>
      <c r="G79" s="821"/>
      <c r="H79" s="708">
        <f t="shared" si="20"/>
        <v>0</v>
      </c>
      <c r="I79" s="708">
        <f t="shared" si="20"/>
        <v>223</v>
      </c>
      <c r="J79" s="708">
        <f t="shared" si="18"/>
        <v>207</v>
      </c>
      <c r="K79" s="513"/>
      <c r="L79" s="513"/>
      <c r="M79" s="519"/>
      <c r="N79" s="519"/>
      <c r="O79" s="519"/>
      <c r="P79" s="519"/>
      <c r="Q79" s="519"/>
      <c r="R79" s="519"/>
      <c r="S79" s="519"/>
      <c r="T79" s="519"/>
      <c r="U79" s="519">
        <v>195</v>
      </c>
      <c r="V79" s="519">
        <v>194</v>
      </c>
      <c r="W79" s="519"/>
      <c r="X79" s="824">
        <v>28</v>
      </c>
      <c r="Y79" s="788">
        <v>13</v>
      </c>
      <c r="AA79" s="813">
        <v>0</v>
      </c>
      <c r="AB79" s="705"/>
      <c r="AC79" s="705"/>
      <c r="AD79" s="709"/>
      <c r="AE79" s="814"/>
    </row>
    <row r="80" spans="1:31" ht="93" customHeight="1">
      <c r="A80" s="703" t="s">
        <v>302</v>
      </c>
      <c r="B80" s="820" t="s">
        <v>349</v>
      </c>
      <c r="C80" s="818" t="s">
        <v>376</v>
      </c>
      <c r="D80" s="826" t="s">
        <v>378</v>
      </c>
      <c r="E80" s="815">
        <v>4042</v>
      </c>
      <c r="F80" s="822"/>
      <c r="G80" s="821"/>
      <c r="H80" s="823"/>
      <c r="I80" s="708">
        <f aca="true" t="shared" si="21" ref="I80:I88">+L80+O80+R80+U80+X80</f>
        <v>793</v>
      </c>
      <c r="J80" s="708">
        <f t="shared" si="18"/>
        <v>791</v>
      </c>
      <c r="K80" s="513"/>
      <c r="L80" s="513"/>
      <c r="M80" s="519"/>
      <c r="N80" s="519"/>
      <c r="O80" s="519">
        <v>0</v>
      </c>
      <c r="P80" s="519"/>
      <c r="Q80" s="519"/>
      <c r="R80" s="519"/>
      <c r="S80" s="519"/>
      <c r="T80" s="519"/>
      <c r="U80" s="519">
        <v>624</v>
      </c>
      <c r="V80" s="519">
        <v>623</v>
      </c>
      <c r="W80" s="519"/>
      <c r="X80" s="824">
        <v>169</v>
      </c>
      <c r="Y80" s="788">
        <v>168</v>
      </c>
      <c r="AA80" s="813">
        <v>268</v>
      </c>
      <c r="AB80" s="705"/>
      <c r="AC80" s="705"/>
      <c r="AD80" s="709"/>
      <c r="AE80" s="814" t="s">
        <v>39</v>
      </c>
    </row>
    <row r="81" spans="1:31" ht="76.5">
      <c r="A81" s="703" t="s">
        <v>303</v>
      </c>
      <c r="B81" s="820" t="s">
        <v>351</v>
      </c>
      <c r="C81" s="818" t="s">
        <v>379</v>
      </c>
      <c r="D81" s="826" t="s">
        <v>380</v>
      </c>
      <c r="E81" s="815">
        <v>4039</v>
      </c>
      <c r="F81" s="822"/>
      <c r="G81" s="821"/>
      <c r="H81" s="823"/>
      <c r="I81" s="708">
        <f t="shared" si="21"/>
        <v>1137</v>
      </c>
      <c r="J81" s="708">
        <f t="shared" si="18"/>
        <v>1136</v>
      </c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>
        <v>895</v>
      </c>
      <c r="V81" s="519">
        <v>895</v>
      </c>
      <c r="W81" s="519"/>
      <c r="X81" s="824">
        <v>242</v>
      </c>
      <c r="Y81" s="788">
        <v>241</v>
      </c>
      <c r="AA81" s="813">
        <v>346</v>
      </c>
      <c r="AB81" s="705"/>
      <c r="AC81" s="705"/>
      <c r="AD81" s="709"/>
      <c r="AE81" s="814" t="s">
        <v>39</v>
      </c>
    </row>
    <row r="82" spans="1:31" ht="76.5">
      <c r="A82" s="827" t="s">
        <v>304</v>
      </c>
      <c r="B82" s="820" t="s">
        <v>344</v>
      </c>
      <c r="C82" s="825" t="s">
        <v>376</v>
      </c>
      <c r="D82" s="821" t="s">
        <v>377</v>
      </c>
      <c r="E82" s="815">
        <v>4043</v>
      </c>
      <c r="F82" s="822"/>
      <c r="G82" s="821"/>
      <c r="H82" s="823">
        <f aca="true" t="shared" si="22" ref="H82:H93">+K82+N82+Q82+T82+W82</f>
        <v>0</v>
      </c>
      <c r="I82" s="823">
        <f t="shared" si="21"/>
        <v>4927</v>
      </c>
      <c r="J82" s="708">
        <f t="shared" si="18"/>
        <v>4727</v>
      </c>
      <c r="K82" s="519"/>
      <c r="L82" s="519"/>
      <c r="M82" s="519"/>
      <c r="N82" s="519"/>
      <c r="O82" s="519">
        <f>1424+498</f>
        <v>1922</v>
      </c>
      <c r="P82" s="519">
        <v>1751</v>
      </c>
      <c r="Q82" s="519"/>
      <c r="R82" s="519">
        <v>1844</v>
      </c>
      <c r="S82" s="519">
        <v>1843</v>
      </c>
      <c r="T82" s="519"/>
      <c r="U82" s="519">
        <v>128</v>
      </c>
      <c r="V82" s="519">
        <v>128</v>
      </c>
      <c r="W82" s="519"/>
      <c r="X82" s="824">
        <v>1033</v>
      </c>
      <c r="Y82" s="788">
        <v>1005</v>
      </c>
      <c r="AA82" s="813">
        <v>2442</v>
      </c>
      <c r="AB82" s="705"/>
      <c r="AC82" s="705"/>
      <c r="AD82" s="765"/>
      <c r="AE82" s="814" t="s">
        <v>39</v>
      </c>
    </row>
    <row r="83" spans="1:31" ht="76.5">
      <c r="A83" s="827" t="s">
        <v>488</v>
      </c>
      <c r="B83" s="820" t="s">
        <v>353</v>
      </c>
      <c r="C83" s="825" t="s">
        <v>476</v>
      </c>
      <c r="D83" s="828" t="s">
        <v>489</v>
      </c>
      <c r="E83" s="815">
        <v>4049</v>
      </c>
      <c r="F83" s="822"/>
      <c r="G83" s="821"/>
      <c r="H83" s="823">
        <f t="shared" si="22"/>
        <v>0</v>
      </c>
      <c r="I83" s="823">
        <f>+L83+O83+R83+U83+X83</f>
        <v>743</v>
      </c>
      <c r="J83" s="708">
        <f t="shared" si="18"/>
        <v>55</v>
      </c>
      <c r="K83" s="519"/>
      <c r="L83" s="519">
        <v>75</v>
      </c>
      <c r="M83" s="519"/>
      <c r="N83" s="519"/>
      <c r="O83" s="519">
        <v>468</v>
      </c>
      <c r="P83" s="519"/>
      <c r="Q83" s="519"/>
      <c r="R83" s="519"/>
      <c r="S83" s="519"/>
      <c r="T83" s="519"/>
      <c r="U83" s="519">
        <v>45</v>
      </c>
      <c r="V83" s="519">
        <v>43</v>
      </c>
      <c r="W83" s="519"/>
      <c r="X83" s="824">
        <v>155</v>
      </c>
      <c r="Y83" s="788">
        <v>12</v>
      </c>
      <c r="AA83" s="813">
        <v>633</v>
      </c>
      <c r="AB83" s="705"/>
      <c r="AC83" s="705"/>
      <c r="AD83" s="765"/>
      <c r="AE83" s="814" t="s">
        <v>39</v>
      </c>
    </row>
    <row r="84" spans="1:31" ht="25.5">
      <c r="A84" s="703" t="s">
        <v>305</v>
      </c>
      <c r="B84" s="704" t="s">
        <v>343</v>
      </c>
      <c r="C84" s="818" t="s">
        <v>451</v>
      </c>
      <c r="D84" s="705" t="s">
        <v>450</v>
      </c>
      <c r="E84" s="815">
        <v>4057</v>
      </c>
      <c r="F84" s="707"/>
      <c r="G84" s="705"/>
      <c r="H84" s="708">
        <f t="shared" si="22"/>
        <v>0</v>
      </c>
      <c r="I84" s="708">
        <f t="shared" si="21"/>
        <v>1799</v>
      </c>
      <c r="J84" s="708">
        <f t="shared" si="18"/>
        <v>1753</v>
      </c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>
        <v>1416</v>
      </c>
      <c r="V84" s="513">
        <v>1380</v>
      </c>
      <c r="W84" s="513"/>
      <c r="X84" s="812">
        <v>383</v>
      </c>
      <c r="Y84" s="788">
        <v>373</v>
      </c>
      <c r="AA84" s="813">
        <v>699</v>
      </c>
      <c r="AB84" s="705"/>
      <c r="AC84" s="705"/>
      <c r="AD84" s="765"/>
      <c r="AE84" s="814" t="s">
        <v>39</v>
      </c>
    </row>
    <row r="85" spans="1:31" ht="38.25">
      <c r="A85" s="827" t="s">
        <v>306</v>
      </c>
      <c r="B85" s="820" t="s">
        <v>326</v>
      </c>
      <c r="C85" s="825" t="s">
        <v>325</v>
      </c>
      <c r="D85" s="821" t="s">
        <v>464</v>
      </c>
      <c r="E85" s="815">
        <v>4053</v>
      </c>
      <c r="F85" s="822"/>
      <c r="G85" s="821"/>
      <c r="H85" s="708">
        <f t="shared" si="22"/>
        <v>0</v>
      </c>
      <c r="I85" s="708">
        <f t="shared" si="21"/>
        <v>1950</v>
      </c>
      <c r="J85" s="708">
        <f t="shared" si="18"/>
        <v>1949</v>
      </c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>
        <v>1535</v>
      </c>
      <c r="V85" s="519">
        <v>1535</v>
      </c>
      <c r="W85" s="519"/>
      <c r="X85" s="824">
        <v>415</v>
      </c>
      <c r="Y85" s="788">
        <v>414</v>
      </c>
      <c r="AA85" s="813">
        <v>1950</v>
      </c>
      <c r="AB85" s="705"/>
      <c r="AC85" s="705"/>
      <c r="AD85" s="765"/>
      <c r="AE85" s="814" t="s">
        <v>39</v>
      </c>
    </row>
    <row r="86" spans="1:31" ht="76.5">
      <c r="A86" s="827" t="s">
        <v>307</v>
      </c>
      <c r="B86" s="820" t="s">
        <v>352</v>
      </c>
      <c r="C86" s="825" t="s">
        <v>476</v>
      </c>
      <c r="D86" s="821" t="s">
        <v>491</v>
      </c>
      <c r="E86" s="815">
        <v>4048</v>
      </c>
      <c r="F86" s="822"/>
      <c r="G86" s="821"/>
      <c r="H86" s="708">
        <f t="shared" si="22"/>
        <v>0</v>
      </c>
      <c r="I86" s="708">
        <f>+L86+O86+R86+U86+X86</f>
        <v>492</v>
      </c>
      <c r="J86" s="708">
        <f t="shared" si="18"/>
        <v>491</v>
      </c>
      <c r="K86" s="519"/>
      <c r="L86" s="519"/>
      <c r="M86" s="519"/>
      <c r="N86" s="519"/>
      <c r="O86" s="519"/>
      <c r="P86" s="519"/>
      <c r="Q86" s="519"/>
      <c r="R86" s="519"/>
      <c r="S86" s="519"/>
      <c r="T86" s="519"/>
      <c r="U86" s="519">
        <v>404</v>
      </c>
      <c r="V86" s="519">
        <v>404</v>
      </c>
      <c r="W86" s="519"/>
      <c r="X86" s="824">
        <v>88</v>
      </c>
      <c r="Y86" s="788">
        <v>87</v>
      </c>
      <c r="AA86" s="813">
        <v>76</v>
      </c>
      <c r="AB86" s="705"/>
      <c r="AC86" s="705"/>
      <c r="AD86" s="765"/>
      <c r="AE86" s="814" t="s">
        <v>39</v>
      </c>
    </row>
    <row r="87" spans="1:31" ht="76.5">
      <c r="A87" s="827" t="s">
        <v>490</v>
      </c>
      <c r="B87" s="820" t="s">
        <v>348</v>
      </c>
      <c r="C87" s="825" t="s">
        <v>376</v>
      </c>
      <c r="D87" s="821" t="s">
        <v>492</v>
      </c>
      <c r="E87" s="815">
        <v>4047</v>
      </c>
      <c r="F87" s="822"/>
      <c r="G87" s="821"/>
      <c r="H87" s="708">
        <f t="shared" si="22"/>
        <v>0</v>
      </c>
      <c r="I87" s="708">
        <f>+L87+O87+R87+U87+X87</f>
        <v>421</v>
      </c>
      <c r="J87" s="708">
        <f t="shared" si="18"/>
        <v>420</v>
      </c>
      <c r="K87" s="519"/>
      <c r="L87" s="519"/>
      <c r="M87" s="519"/>
      <c r="N87" s="519"/>
      <c r="O87" s="519"/>
      <c r="P87" s="519"/>
      <c r="Q87" s="519"/>
      <c r="R87" s="519">
        <v>5</v>
      </c>
      <c r="S87" s="519">
        <v>5</v>
      </c>
      <c r="T87" s="519"/>
      <c r="U87" s="519">
        <v>326</v>
      </c>
      <c r="V87" s="519">
        <v>326</v>
      </c>
      <c r="W87" s="519"/>
      <c r="X87" s="824">
        <v>90</v>
      </c>
      <c r="Y87" s="788">
        <v>89</v>
      </c>
      <c r="AA87" s="813">
        <v>25</v>
      </c>
      <c r="AB87" s="705"/>
      <c r="AC87" s="705"/>
      <c r="AD87" s="765"/>
      <c r="AE87" s="814" t="s">
        <v>39</v>
      </c>
    </row>
    <row r="88" spans="1:31" ht="43.5" customHeight="1">
      <c r="A88" s="703" t="s">
        <v>308</v>
      </c>
      <c r="B88" s="704" t="s">
        <v>326</v>
      </c>
      <c r="C88" s="818" t="s">
        <v>463</v>
      </c>
      <c r="D88" s="705" t="s">
        <v>482</v>
      </c>
      <c r="E88" s="706">
        <v>4045</v>
      </c>
      <c r="F88" s="707"/>
      <c r="G88" s="705"/>
      <c r="H88" s="708">
        <f t="shared" si="22"/>
        <v>0</v>
      </c>
      <c r="I88" s="708">
        <f t="shared" si="21"/>
        <v>3473</v>
      </c>
      <c r="J88" s="708">
        <f t="shared" si="18"/>
        <v>3472</v>
      </c>
      <c r="K88" s="513"/>
      <c r="L88" s="513"/>
      <c r="M88" s="513"/>
      <c r="N88" s="513"/>
      <c r="O88" s="513">
        <v>134</v>
      </c>
      <c r="P88" s="513">
        <v>134</v>
      </c>
      <c r="Q88" s="513"/>
      <c r="R88" s="513"/>
      <c r="S88" s="513"/>
      <c r="T88" s="513"/>
      <c r="U88" s="513">
        <v>2600</v>
      </c>
      <c r="V88" s="513">
        <v>2600</v>
      </c>
      <c r="W88" s="513"/>
      <c r="X88" s="812">
        <v>739</v>
      </c>
      <c r="Y88" s="788">
        <v>738</v>
      </c>
      <c r="AA88" s="813">
        <v>3303</v>
      </c>
      <c r="AB88" s="705"/>
      <c r="AC88" s="705"/>
      <c r="AD88" s="765"/>
      <c r="AE88" s="814" t="s">
        <v>39</v>
      </c>
    </row>
    <row r="89" spans="1:31" ht="51">
      <c r="A89" s="703" t="s">
        <v>309</v>
      </c>
      <c r="B89" s="704" t="s">
        <v>355</v>
      </c>
      <c r="C89" s="818" t="s">
        <v>495</v>
      </c>
      <c r="D89" s="705" t="s">
        <v>493</v>
      </c>
      <c r="E89" s="706">
        <v>4051</v>
      </c>
      <c r="F89" s="707"/>
      <c r="G89" s="705"/>
      <c r="H89" s="708">
        <f t="shared" si="22"/>
        <v>0</v>
      </c>
      <c r="I89" s="708">
        <f>+L89+O89+R89+U89+X89</f>
        <v>142</v>
      </c>
      <c r="J89" s="708">
        <f t="shared" si="18"/>
        <v>141</v>
      </c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>
        <v>112</v>
      </c>
      <c r="V89" s="513">
        <v>111</v>
      </c>
      <c r="W89" s="513"/>
      <c r="X89" s="812">
        <v>30</v>
      </c>
      <c r="Y89" s="788">
        <v>30</v>
      </c>
      <c r="AA89" s="813">
        <v>0</v>
      </c>
      <c r="AB89" s="705"/>
      <c r="AC89" s="705"/>
      <c r="AD89" s="765"/>
      <c r="AE89" s="814" t="s">
        <v>39</v>
      </c>
    </row>
    <row r="90" spans="1:31" ht="38.25">
      <c r="A90" s="703" t="s">
        <v>310</v>
      </c>
      <c r="B90" s="820" t="s">
        <v>326</v>
      </c>
      <c r="C90" s="825" t="s">
        <v>325</v>
      </c>
      <c r="D90" s="821" t="s">
        <v>535</v>
      </c>
      <c r="E90" s="829">
        <v>4078</v>
      </c>
      <c r="F90" s="822"/>
      <c r="G90" s="821"/>
      <c r="H90" s="823"/>
      <c r="I90" s="708">
        <f>+L90+O90+R90+U90+X90</f>
        <v>6000</v>
      </c>
      <c r="J90" s="823"/>
      <c r="K90" s="519"/>
      <c r="L90" s="519">
        <v>4724</v>
      </c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824">
        <v>1276</v>
      </c>
      <c r="Y90" s="830"/>
      <c r="AA90" s="831"/>
      <c r="AB90" s="821"/>
      <c r="AC90" s="821"/>
      <c r="AD90" s="790"/>
      <c r="AE90" s="832"/>
    </row>
    <row r="91" spans="1:31" ht="38.25">
      <c r="A91" s="703" t="s">
        <v>311</v>
      </c>
      <c r="B91" s="820" t="s">
        <v>533</v>
      </c>
      <c r="C91" s="825" t="s">
        <v>534</v>
      </c>
      <c r="D91" s="821" t="s">
        <v>536</v>
      </c>
      <c r="E91" s="829">
        <v>4081</v>
      </c>
      <c r="F91" s="822"/>
      <c r="G91" s="821"/>
      <c r="H91" s="823"/>
      <c r="I91" s="708">
        <f>+L91+O91+R91+U91+X91</f>
        <v>56198</v>
      </c>
      <c r="J91" s="823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>
        <v>44250</v>
      </c>
      <c r="V91" s="519"/>
      <c r="W91" s="519"/>
      <c r="X91" s="824">
        <v>11948</v>
      </c>
      <c r="Y91" s="830"/>
      <c r="AA91" s="831"/>
      <c r="AB91" s="821"/>
      <c r="AC91" s="821"/>
      <c r="AD91" s="790"/>
      <c r="AE91" s="832"/>
    </row>
    <row r="92" spans="1:31" ht="38.25">
      <c r="A92" s="703" t="s">
        <v>312</v>
      </c>
      <c r="B92" s="820" t="s">
        <v>326</v>
      </c>
      <c r="C92" s="825" t="s">
        <v>463</v>
      </c>
      <c r="D92" s="821" t="s">
        <v>537</v>
      </c>
      <c r="E92" s="829"/>
      <c r="F92" s="822"/>
      <c r="G92" s="821"/>
      <c r="H92" s="823"/>
      <c r="I92" s="708">
        <f>+L92+O92+R92+U92+X92</f>
        <v>0</v>
      </c>
      <c r="J92" s="823"/>
      <c r="K92" s="519"/>
      <c r="L92" s="519"/>
      <c r="M92" s="519"/>
      <c r="N92" s="519"/>
      <c r="O92" s="519"/>
      <c r="P92" s="519"/>
      <c r="Q92" s="519"/>
      <c r="R92" s="519"/>
      <c r="S92" s="519"/>
      <c r="T92" s="519"/>
      <c r="U92" s="519"/>
      <c r="V92" s="519"/>
      <c r="W92" s="519"/>
      <c r="X92" s="824"/>
      <c r="Y92" s="830"/>
      <c r="AA92" s="831"/>
      <c r="AB92" s="821"/>
      <c r="AC92" s="821"/>
      <c r="AD92" s="790"/>
      <c r="AE92" s="832"/>
    </row>
    <row r="93" spans="1:31" ht="51">
      <c r="A93" s="768" t="s">
        <v>313</v>
      </c>
      <c r="B93" s="833" t="s">
        <v>350</v>
      </c>
      <c r="C93" s="834" t="s">
        <v>496</v>
      </c>
      <c r="D93" s="769" t="s">
        <v>494</v>
      </c>
      <c r="E93" s="777">
        <v>4052</v>
      </c>
      <c r="F93" s="778"/>
      <c r="G93" s="769"/>
      <c r="H93" s="779">
        <f t="shared" si="22"/>
        <v>0</v>
      </c>
      <c r="I93" s="779">
        <f>+L93+O93+R93+U93+X93</f>
        <v>19</v>
      </c>
      <c r="J93" s="779">
        <f>+M93+P93+S93+V93+Y93</f>
        <v>19</v>
      </c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>
        <v>15</v>
      </c>
      <c r="V93" s="518">
        <v>15</v>
      </c>
      <c r="W93" s="518"/>
      <c r="X93" s="835">
        <v>4</v>
      </c>
      <c r="Y93" s="791">
        <v>4</v>
      </c>
      <c r="AA93" s="836">
        <v>0</v>
      </c>
      <c r="AB93" s="769"/>
      <c r="AC93" s="769"/>
      <c r="AD93" s="770"/>
      <c r="AE93" s="837" t="s">
        <v>39</v>
      </c>
    </row>
    <row r="94" spans="1:31" ht="21" customHeight="1">
      <c r="A94" s="971"/>
      <c r="B94" s="972"/>
      <c r="C94" s="733"/>
      <c r="D94" s="734" t="s">
        <v>125</v>
      </c>
      <c r="E94" s="734"/>
      <c r="F94" s="516">
        <f>SUM(F56:F88)</f>
        <v>0</v>
      </c>
      <c r="G94" s="516">
        <f>SUM(G56:G88)</f>
        <v>0</v>
      </c>
      <c r="H94" s="516">
        <f>SUM(H56:H88)</f>
        <v>130060</v>
      </c>
      <c r="I94" s="516">
        <f>SUM(I56:I93)</f>
        <v>320737</v>
      </c>
      <c r="J94" s="516">
        <f>SUM(J56:J93)</f>
        <v>241929</v>
      </c>
      <c r="K94" s="516">
        <f aca="true" t="shared" si="23" ref="K94:Y94">SUM(K56:K93)</f>
        <v>4968</v>
      </c>
      <c r="L94" s="516">
        <f t="shared" si="23"/>
        <v>31931</v>
      </c>
      <c r="M94" s="516">
        <f t="shared" si="23"/>
        <v>25487</v>
      </c>
      <c r="N94" s="516">
        <f t="shared" si="23"/>
        <v>87756</v>
      </c>
      <c r="O94" s="516">
        <f t="shared" si="23"/>
        <v>179852</v>
      </c>
      <c r="P94" s="516">
        <f t="shared" si="23"/>
        <v>169843</v>
      </c>
      <c r="Q94" s="516">
        <f t="shared" si="23"/>
        <v>0</v>
      </c>
      <c r="R94" s="516">
        <f t="shared" si="23"/>
        <v>1999</v>
      </c>
      <c r="S94" s="516">
        <f t="shared" si="23"/>
        <v>1981</v>
      </c>
      <c r="T94" s="516">
        <f t="shared" si="23"/>
        <v>9685</v>
      </c>
      <c r="U94" s="516">
        <f t="shared" si="23"/>
        <v>66162</v>
      </c>
      <c r="V94" s="516">
        <f t="shared" si="23"/>
        <v>20784</v>
      </c>
      <c r="W94" s="516">
        <f t="shared" si="23"/>
        <v>27651</v>
      </c>
      <c r="X94" s="516">
        <f t="shared" si="23"/>
        <v>40793</v>
      </c>
      <c r="Y94" s="516">
        <f t="shared" si="23"/>
        <v>23834</v>
      </c>
      <c r="Z94" s="838">
        <f>SUM(Z56:Z93)</f>
        <v>0</v>
      </c>
      <c r="AA94" s="839">
        <f>SUM(AA56:AA93)</f>
        <v>296258</v>
      </c>
      <c r="AB94" s="839">
        <f>SUM(AB56:AB93)</f>
        <v>0</v>
      </c>
      <c r="AC94" s="839">
        <f>SUM(AC56:AC93)</f>
        <v>0</v>
      </c>
      <c r="AD94" s="839">
        <f>SUM(AD56:AD93)</f>
        <v>24000</v>
      </c>
      <c r="AE94" s="784"/>
    </row>
    <row r="95" spans="1:30" s="745" customFormat="1" ht="15">
      <c r="A95" s="742"/>
      <c r="B95" s="742"/>
      <c r="C95" s="742"/>
      <c r="D95" s="743"/>
      <c r="E95" s="743"/>
      <c r="F95" s="840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AA95" s="841"/>
      <c r="AB95" s="841"/>
      <c r="AC95" s="841"/>
      <c r="AD95" s="841"/>
    </row>
    <row r="96" spans="1:31" s="695" customFormat="1" ht="15">
      <c r="A96" s="962" t="s">
        <v>126</v>
      </c>
      <c r="B96" s="961"/>
      <c r="C96" s="961"/>
      <c r="D96" s="961"/>
      <c r="E96" s="961"/>
      <c r="F96" s="961"/>
      <c r="G96" s="961"/>
      <c r="H96" s="961"/>
      <c r="I96" s="961"/>
      <c r="J96" s="961"/>
      <c r="K96" s="961"/>
      <c r="L96" s="961"/>
      <c r="M96" s="961"/>
      <c r="N96" s="961"/>
      <c r="O96" s="961"/>
      <c r="P96" s="961"/>
      <c r="Q96" s="961" t="s">
        <v>126</v>
      </c>
      <c r="R96" s="961"/>
      <c r="S96" s="961"/>
      <c r="T96" s="961"/>
      <c r="U96" s="961"/>
      <c r="V96" s="961"/>
      <c r="W96" s="961"/>
      <c r="X96" s="961"/>
      <c r="Y96" s="975"/>
      <c r="AA96" s="1009"/>
      <c r="AB96" s="1010"/>
      <c r="AC96" s="1010"/>
      <c r="AD96" s="1011"/>
      <c r="AE96" s="842"/>
    </row>
    <row r="97" spans="1:31" s="695" customFormat="1" ht="15.75">
      <c r="A97" s="843" t="s">
        <v>1</v>
      </c>
      <c r="B97" s="844" t="s">
        <v>341</v>
      </c>
      <c r="C97" s="844" t="s">
        <v>340</v>
      </c>
      <c r="D97" s="845" t="s">
        <v>290</v>
      </c>
      <c r="E97" s="846">
        <v>4037</v>
      </c>
      <c r="F97" s="847"/>
      <c r="G97" s="847"/>
      <c r="H97" s="848">
        <f>+K97+N97+Q97+T97+W97</f>
        <v>1400</v>
      </c>
      <c r="I97" s="848">
        <f>+L97+O97+R97+U97+X97</f>
        <v>1400</v>
      </c>
      <c r="J97" s="848">
        <f>+M97+P97+S97+V97+Y97</f>
        <v>1261</v>
      </c>
      <c r="K97" s="531">
        <v>1102</v>
      </c>
      <c r="L97" s="531">
        <v>0</v>
      </c>
      <c r="M97" s="531"/>
      <c r="N97" s="531"/>
      <c r="O97" s="531">
        <v>1102</v>
      </c>
      <c r="P97" s="531">
        <v>993</v>
      </c>
      <c r="Q97" s="531"/>
      <c r="R97" s="531"/>
      <c r="S97" s="531"/>
      <c r="T97" s="531"/>
      <c r="U97" s="531">
        <f>SUM(T97:T97)</f>
        <v>0</v>
      </c>
      <c r="V97" s="531"/>
      <c r="W97" s="531">
        <v>298</v>
      </c>
      <c r="X97" s="531">
        <f>SUM(W97:W97)</f>
        <v>298</v>
      </c>
      <c r="Y97" s="849">
        <v>268</v>
      </c>
      <c r="AA97" s="850">
        <v>1400</v>
      </c>
      <c r="AB97" s="851"/>
      <c r="AC97" s="851"/>
      <c r="AD97" s="852"/>
      <c r="AE97" s="842" t="s">
        <v>34</v>
      </c>
    </row>
    <row r="98" spans="1:31" s="695" customFormat="1" ht="15.75">
      <c r="A98" s="853" t="s">
        <v>2</v>
      </c>
      <c r="B98" s="774" t="s">
        <v>538</v>
      </c>
      <c r="C98" s="774" t="s">
        <v>340</v>
      </c>
      <c r="D98" s="776" t="s">
        <v>539</v>
      </c>
      <c r="E98" s="854">
        <v>4077</v>
      </c>
      <c r="F98" s="855"/>
      <c r="G98" s="855"/>
      <c r="H98" s="856"/>
      <c r="I98" s="856">
        <f>+L98+O98+R98+U98+X98</f>
        <v>170</v>
      </c>
      <c r="J98" s="848">
        <f>+M98+P98+S98+V98+Y98</f>
        <v>170</v>
      </c>
      <c r="K98" s="532"/>
      <c r="L98" s="532"/>
      <c r="M98" s="532"/>
      <c r="N98" s="532"/>
      <c r="O98" s="532">
        <v>134</v>
      </c>
      <c r="P98" s="532">
        <v>134</v>
      </c>
      <c r="Q98" s="532"/>
      <c r="R98" s="532"/>
      <c r="S98" s="532"/>
      <c r="T98" s="532"/>
      <c r="U98" s="532"/>
      <c r="V98" s="532"/>
      <c r="W98" s="532"/>
      <c r="X98" s="532">
        <v>36</v>
      </c>
      <c r="Y98" s="857">
        <v>36</v>
      </c>
      <c r="AA98" s="858"/>
      <c r="AB98" s="859"/>
      <c r="AC98" s="859"/>
      <c r="AD98" s="860"/>
      <c r="AE98" s="861"/>
    </row>
    <row r="99" spans="1:31" ht="15">
      <c r="A99" s="1032"/>
      <c r="B99" s="1032"/>
      <c r="C99" s="862"/>
      <c r="D99" s="863" t="s">
        <v>127</v>
      </c>
      <c r="E99" s="863"/>
      <c r="F99" s="740"/>
      <c r="G99" s="740"/>
      <c r="H99" s="864">
        <f>SUM(H97:H98)</f>
        <v>1400</v>
      </c>
      <c r="I99" s="864">
        <f aca="true" t="shared" si="24" ref="I99:Y99">SUM(I97:I98)</f>
        <v>1570</v>
      </c>
      <c r="J99" s="864">
        <f t="shared" si="24"/>
        <v>1431</v>
      </c>
      <c r="K99" s="864">
        <f t="shared" si="24"/>
        <v>1102</v>
      </c>
      <c r="L99" s="864">
        <f t="shared" si="24"/>
        <v>0</v>
      </c>
      <c r="M99" s="864">
        <f t="shared" si="24"/>
        <v>0</v>
      </c>
      <c r="N99" s="864">
        <f t="shared" si="24"/>
        <v>0</v>
      </c>
      <c r="O99" s="864">
        <f t="shared" si="24"/>
        <v>1236</v>
      </c>
      <c r="P99" s="864">
        <f t="shared" si="24"/>
        <v>1127</v>
      </c>
      <c r="Q99" s="864">
        <f t="shared" si="24"/>
        <v>0</v>
      </c>
      <c r="R99" s="864">
        <f t="shared" si="24"/>
        <v>0</v>
      </c>
      <c r="S99" s="864">
        <f t="shared" si="24"/>
        <v>0</v>
      </c>
      <c r="T99" s="864">
        <f t="shared" si="24"/>
        <v>0</v>
      </c>
      <c r="U99" s="864">
        <f t="shared" si="24"/>
        <v>0</v>
      </c>
      <c r="V99" s="864">
        <f t="shared" si="24"/>
        <v>0</v>
      </c>
      <c r="W99" s="864">
        <f t="shared" si="24"/>
        <v>298</v>
      </c>
      <c r="X99" s="864">
        <f t="shared" si="24"/>
        <v>334</v>
      </c>
      <c r="Y99" s="864">
        <f t="shared" si="24"/>
        <v>304</v>
      </c>
      <c r="Z99" s="865">
        <f>SUM(Z97)</f>
        <v>0</v>
      </c>
      <c r="AA99" s="516">
        <f>SUM(AA97)</f>
        <v>1400</v>
      </c>
      <c r="AB99" s="516">
        <f>SUM(AB97)</f>
        <v>0</v>
      </c>
      <c r="AC99" s="516">
        <f>SUM(AC97)</f>
        <v>0</v>
      </c>
      <c r="AD99" s="516">
        <f>SUM(AD97)</f>
        <v>0</v>
      </c>
      <c r="AE99" s="784"/>
    </row>
    <row r="100" spans="1:30" s="745" customFormat="1" ht="15">
      <c r="A100" s="742"/>
      <c r="B100" s="742"/>
      <c r="C100" s="742"/>
      <c r="D100" s="743"/>
      <c r="E100" s="743"/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  <c r="R100" s="517"/>
      <c r="S100" s="517"/>
      <c r="T100" s="517"/>
      <c r="U100" s="517"/>
      <c r="V100" s="517"/>
      <c r="W100" s="840"/>
      <c r="X100" s="517"/>
      <c r="Y100" s="517"/>
      <c r="AA100" s="866"/>
      <c r="AB100" s="746"/>
      <c r="AC100" s="746"/>
      <c r="AD100" s="746"/>
    </row>
    <row r="101" spans="1:31" s="695" customFormat="1" ht="15">
      <c r="A101" s="1028" t="s">
        <v>128</v>
      </c>
      <c r="B101" s="1008"/>
      <c r="C101" s="1008"/>
      <c r="D101" s="1008"/>
      <c r="E101" s="1008"/>
      <c r="F101" s="1008"/>
      <c r="G101" s="1008"/>
      <c r="H101" s="1008"/>
      <c r="I101" s="1008"/>
      <c r="J101" s="1008"/>
      <c r="K101" s="1008"/>
      <c r="L101" s="1008"/>
      <c r="M101" s="1008"/>
      <c r="N101" s="1008"/>
      <c r="O101" s="1008"/>
      <c r="P101" s="1008"/>
      <c r="Q101" s="961" t="s">
        <v>128</v>
      </c>
      <c r="R101" s="961"/>
      <c r="S101" s="961"/>
      <c r="T101" s="961"/>
      <c r="U101" s="961"/>
      <c r="V101" s="961"/>
      <c r="W101" s="961"/>
      <c r="X101" s="961"/>
      <c r="Y101" s="975"/>
      <c r="AA101" s="750"/>
      <c r="AB101" s="751"/>
      <c r="AC101" s="752"/>
      <c r="AD101" s="753"/>
      <c r="AE101" s="842"/>
    </row>
    <row r="102" spans="1:31" s="695" customFormat="1" ht="25.5">
      <c r="A102" s="843" t="s">
        <v>1</v>
      </c>
      <c r="B102" s="844" t="s">
        <v>357</v>
      </c>
      <c r="C102" s="867" t="s">
        <v>484</v>
      </c>
      <c r="D102" s="845" t="s">
        <v>485</v>
      </c>
      <c r="E102" s="846">
        <v>4055</v>
      </c>
      <c r="F102" s="847"/>
      <c r="G102" s="847"/>
      <c r="H102" s="848">
        <f>+K102+N102+Q102+T102+W102</f>
        <v>0</v>
      </c>
      <c r="I102" s="868">
        <f>+L102+O102+R102+U102+X102</f>
        <v>30</v>
      </c>
      <c r="J102" s="868">
        <f>+M102+P102+S102+V102+Y102</f>
        <v>30</v>
      </c>
      <c r="K102" s="531"/>
      <c r="L102" s="531"/>
      <c r="M102" s="531"/>
      <c r="N102" s="531"/>
      <c r="O102" s="531"/>
      <c r="P102" s="531"/>
      <c r="Q102" s="531"/>
      <c r="R102" s="531">
        <v>24</v>
      </c>
      <c r="S102" s="531">
        <v>24</v>
      </c>
      <c r="T102" s="531"/>
      <c r="U102" s="531"/>
      <c r="V102" s="531"/>
      <c r="W102" s="531"/>
      <c r="X102" s="531">
        <v>6</v>
      </c>
      <c r="Y102" s="849">
        <v>6</v>
      </c>
      <c r="AA102" s="850">
        <v>30</v>
      </c>
      <c r="AB102" s="851"/>
      <c r="AC102" s="851"/>
      <c r="AD102" s="852"/>
      <c r="AE102" s="861" t="s">
        <v>39</v>
      </c>
    </row>
    <row r="103" spans="1:31" s="695" customFormat="1" ht="38.25">
      <c r="A103" s="869" t="s">
        <v>2</v>
      </c>
      <c r="B103" s="755" t="s">
        <v>540</v>
      </c>
      <c r="C103" s="818" t="s">
        <v>542</v>
      </c>
      <c r="D103" s="766" t="s">
        <v>543</v>
      </c>
      <c r="E103" s="870">
        <v>4079</v>
      </c>
      <c r="F103" s="871"/>
      <c r="G103" s="871"/>
      <c r="H103" s="872"/>
      <c r="I103" s="872">
        <f aca="true" t="shared" si="25" ref="I103:J105">+L103+O103+R103+U103+X103</f>
        <v>308</v>
      </c>
      <c r="J103" s="872">
        <f t="shared" si="25"/>
        <v>307</v>
      </c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>
        <v>242</v>
      </c>
      <c r="V103" s="533">
        <v>242</v>
      </c>
      <c r="W103" s="533"/>
      <c r="X103" s="533">
        <v>66</v>
      </c>
      <c r="Y103" s="873">
        <v>65</v>
      </c>
      <c r="AA103" s="850"/>
      <c r="AB103" s="851"/>
      <c r="AC103" s="851"/>
      <c r="AD103" s="852"/>
      <c r="AE103" s="861"/>
    </row>
    <row r="104" spans="1:31" s="695" customFormat="1" ht="38.25">
      <c r="A104" s="869" t="s">
        <v>3</v>
      </c>
      <c r="B104" s="755" t="s">
        <v>541</v>
      </c>
      <c r="C104" s="818" t="s">
        <v>514</v>
      </c>
      <c r="D104" s="766" t="s">
        <v>544</v>
      </c>
      <c r="E104" s="870">
        <v>4074</v>
      </c>
      <c r="F104" s="871"/>
      <c r="G104" s="871"/>
      <c r="H104" s="872"/>
      <c r="I104" s="872">
        <f t="shared" si="25"/>
        <v>23</v>
      </c>
      <c r="J104" s="872">
        <f t="shared" si="25"/>
        <v>22</v>
      </c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>
        <v>18</v>
      </c>
      <c r="V104" s="533">
        <v>17</v>
      </c>
      <c r="W104" s="533"/>
      <c r="X104" s="533">
        <v>5</v>
      </c>
      <c r="Y104" s="873">
        <v>5</v>
      </c>
      <c r="AA104" s="850"/>
      <c r="AB104" s="851"/>
      <c r="AC104" s="851"/>
      <c r="AD104" s="852"/>
      <c r="AE104" s="861"/>
    </row>
    <row r="105" spans="1:31" s="695" customFormat="1" ht="38.25">
      <c r="A105" s="853" t="s">
        <v>4</v>
      </c>
      <c r="B105" s="774" t="s">
        <v>513</v>
      </c>
      <c r="C105" s="834" t="s">
        <v>514</v>
      </c>
      <c r="D105" s="776" t="s">
        <v>515</v>
      </c>
      <c r="E105" s="854">
        <v>4068</v>
      </c>
      <c r="F105" s="855"/>
      <c r="G105" s="855"/>
      <c r="H105" s="856"/>
      <c r="I105" s="856">
        <f t="shared" si="25"/>
        <v>16</v>
      </c>
      <c r="J105" s="856">
        <f t="shared" si="25"/>
        <v>14</v>
      </c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>
        <v>12</v>
      </c>
      <c r="V105" s="532">
        <v>11</v>
      </c>
      <c r="W105" s="532"/>
      <c r="X105" s="532">
        <v>4</v>
      </c>
      <c r="Y105" s="857">
        <v>3</v>
      </c>
      <c r="AA105" s="850">
        <v>30</v>
      </c>
      <c r="AB105" s="851"/>
      <c r="AC105" s="851"/>
      <c r="AD105" s="852"/>
      <c r="AE105" s="861"/>
    </row>
    <row r="106" spans="1:31" ht="15">
      <c r="A106" s="1033"/>
      <c r="B106" s="1034"/>
      <c r="C106" s="532"/>
      <c r="D106" s="874" t="s">
        <v>132</v>
      </c>
      <c r="E106" s="874"/>
      <c r="F106" s="779">
        <f aca="true" t="shared" si="26" ref="F106:W106">SUM(F102:F105)</f>
        <v>0</v>
      </c>
      <c r="G106" s="779">
        <f t="shared" si="26"/>
        <v>0</v>
      </c>
      <c r="H106" s="779">
        <f t="shared" si="26"/>
        <v>0</v>
      </c>
      <c r="I106" s="779">
        <f t="shared" si="26"/>
        <v>377</v>
      </c>
      <c r="J106" s="779">
        <f t="shared" si="26"/>
        <v>373</v>
      </c>
      <c r="K106" s="779">
        <f t="shared" si="26"/>
        <v>0</v>
      </c>
      <c r="L106" s="779">
        <f t="shared" si="26"/>
        <v>0</v>
      </c>
      <c r="M106" s="779">
        <f t="shared" si="26"/>
        <v>0</v>
      </c>
      <c r="N106" s="779">
        <f t="shared" si="26"/>
        <v>0</v>
      </c>
      <c r="O106" s="779">
        <f t="shared" si="26"/>
        <v>0</v>
      </c>
      <c r="P106" s="779">
        <f t="shared" si="26"/>
        <v>0</v>
      </c>
      <c r="Q106" s="779">
        <f t="shared" si="26"/>
        <v>0</v>
      </c>
      <c r="R106" s="779">
        <f t="shared" si="26"/>
        <v>24</v>
      </c>
      <c r="S106" s="779">
        <f t="shared" si="26"/>
        <v>24</v>
      </c>
      <c r="T106" s="779">
        <f t="shared" si="26"/>
        <v>0</v>
      </c>
      <c r="U106" s="779">
        <f t="shared" si="26"/>
        <v>272</v>
      </c>
      <c r="V106" s="779">
        <f t="shared" si="26"/>
        <v>270</v>
      </c>
      <c r="W106" s="779">
        <f t="shared" si="26"/>
        <v>0</v>
      </c>
      <c r="X106" s="779">
        <f>SUM(X102:X105)</f>
        <v>81</v>
      </c>
      <c r="Y106" s="779">
        <f>SUM(Y102:Y105)</f>
        <v>79</v>
      </c>
      <c r="AA106" s="836">
        <f>SUM(AA102:AA105)</f>
        <v>60</v>
      </c>
      <c r="AB106" s="836">
        <f>SUM(AB102)</f>
        <v>0</v>
      </c>
      <c r="AC106" s="836">
        <f>SUM(AC102)</f>
        <v>0</v>
      </c>
      <c r="AD106" s="836">
        <f>SUM(AD102)</f>
        <v>0</v>
      </c>
      <c r="AE106" s="875"/>
    </row>
    <row r="107" spans="1:32" ht="22.5" customHeight="1">
      <c r="A107" s="1035" t="s">
        <v>133</v>
      </c>
      <c r="B107" s="1036"/>
      <c r="C107" s="1036"/>
      <c r="D107" s="1037"/>
      <c r="E107" s="876"/>
      <c r="F107" s="521"/>
      <c r="G107" s="521"/>
      <c r="H107" s="521">
        <f aca="true" t="shared" si="27" ref="H107:O107">H106+H99+H94+H54+H32+H15</f>
        <v>831044</v>
      </c>
      <c r="I107" s="521">
        <f t="shared" si="27"/>
        <v>1128154</v>
      </c>
      <c r="J107" s="521">
        <f t="shared" si="27"/>
        <v>1040402</v>
      </c>
      <c r="K107" s="521">
        <f t="shared" si="27"/>
        <v>6070</v>
      </c>
      <c r="L107" s="521">
        <f t="shared" si="27"/>
        <v>32141</v>
      </c>
      <c r="M107" s="521">
        <f t="shared" si="27"/>
        <v>25697</v>
      </c>
      <c r="N107" s="521">
        <f t="shared" si="27"/>
        <v>612245</v>
      </c>
      <c r="O107" s="521">
        <f t="shared" si="27"/>
        <v>933215</v>
      </c>
      <c r="P107" s="521">
        <f aca="true" t="shared" si="28" ref="P107:Y107">P106+P99+P94+P54+P32+P15</f>
        <v>915203</v>
      </c>
      <c r="Q107" s="521">
        <f t="shared" si="28"/>
        <v>0</v>
      </c>
      <c r="R107" s="521">
        <f t="shared" si="28"/>
        <v>3265</v>
      </c>
      <c r="S107" s="521">
        <f t="shared" si="28"/>
        <v>3247</v>
      </c>
      <c r="T107" s="521">
        <f t="shared" si="28"/>
        <v>32523</v>
      </c>
      <c r="U107" s="521">
        <f t="shared" si="28"/>
        <v>87416</v>
      </c>
      <c r="V107" s="521">
        <f t="shared" si="28"/>
        <v>41847</v>
      </c>
      <c r="W107" s="521">
        <f t="shared" si="28"/>
        <v>180206</v>
      </c>
      <c r="X107" s="521">
        <f t="shared" si="28"/>
        <v>72117</v>
      </c>
      <c r="Y107" s="521">
        <f t="shared" si="28"/>
        <v>54408</v>
      </c>
      <c r="Z107" s="877">
        <f>Z106+Z99+Z94+Z54+Z32+Z15</f>
        <v>0</v>
      </c>
      <c r="AA107" s="878">
        <f>+AA106+AA99+AA94+AA54+AA32+AA15</f>
        <v>598249</v>
      </c>
      <c r="AB107" s="878">
        <f>+AB106+AB99+AB94+AB54+AB32+AB15</f>
        <v>0</v>
      </c>
      <c r="AC107" s="878">
        <f>+AC106+AC99+AC94+AC54+AC32+AC15</f>
        <v>590432</v>
      </c>
      <c r="AD107" s="878">
        <f>+AD106+AD99+AD94+AD54+AD32+AD15</f>
        <v>156000</v>
      </c>
      <c r="AE107" s="740"/>
      <c r="AF107" s="741">
        <f>+AA107+AB107+AC107</f>
        <v>1188681</v>
      </c>
    </row>
    <row r="108" spans="1:32" s="695" customFormat="1" ht="18" customHeight="1">
      <c r="A108" s="962" t="s">
        <v>134</v>
      </c>
      <c r="B108" s="961"/>
      <c r="C108" s="961"/>
      <c r="D108" s="961"/>
      <c r="E108" s="961"/>
      <c r="F108" s="961"/>
      <c r="G108" s="961"/>
      <c r="H108" s="961"/>
      <c r="I108" s="961"/>
      <c r="J108" s="961"/>
      <c r="K108" s="961"/>
      <c r="L108" s="961"/>
      <c r="M108" s="961"/>
      <c r="N108" s="961"/>
      <c r="O108" s="961"/>
      <c r="P108" s="961"/>
      <c r="Q108" s="961" t="s">
        <v>134</v>
      </c>
      <c r="R108" s="961"/>
      <c r="S108" s="961"/>
      <c r="T108" s="961"/>
      <c r="U108" s="961"/>
      <c r="V108" s="961"/>
      <c r="W108" s="961"/>
      <c r="X108" s="961"/>
      <c r="Y108" s="961"/>
      <c r="AA108" s="879"/>
      <c r="AB108" s="880"/>
      <c r="AC108" s="881"/>
      <c r="AD108" s="882"/>
      <c r="AE108" s="796"/>
      <c r="AF108" s="883">
        <f>+AF107-I107</f>
        <v>60527</v>
      </c>
    </row>
    <row r="109" spans="1:31" ht="25.5" customHeight="1">
      <c r="A109" s="884" t="s">
        <v>1</v>
      </c>
      <c r="B109" s="885" t="s">
        <v>328</v>
      </c>
      <c r="C109" s="1038" t="s">
        <v>269</v>
      </c>
      <c r="D109" s="886" t="s">
        <v>136</v>
      </c>
      <c r="E109" s="887">
        <v>4001</v>
      </c>
      <c r="F109" s="888"/>
      <c r="G109" s="886"/>
      <c r="H109" s="889">
        <f aca="true" t="shared" si="29" ref="H109:J112">+K109+N109+Q109+T109+W109</f>
        <v>10380</v>
      </c>
      <c r="I109" s="889">
        <f t="shared" si="29"/>
        <v>14580</v>
      </c>
      <c r="J109" s="889">
        <f t="shared" si="29"/>
        <v>12039</v>
      </c>
      <c r="K109" s="522"/>
      <c r="L109" s="522">
        <v>2161</v>
      </c>
      <c r="M109" s="522">
        <v>2160</v>
      </c>
      <c r="N109" s="522"/>
      <c r="O109" s="522"/>
      <c r="P109" s="522">
        <v>0</v>
      </c>
      <c r="Q109" s="522">
        <f>4724+1890+1575</f>
        <v>8189</v>
      </c>
      <c r="R109" s="522">
        <v>7078</v>
      </c>
      <c r="S109" s="522">
        <v>4996</v>
      </c>
      <c r="T109" s="522"/>
      <c r="U109" s="890">
        <v>2294</v>
      </c>
      <c r="V109" s="890">
        <v>2457</v>
      </c>
      <c r="W109" s="522">
        <f>1276+490+425</f>
        <v>2191</v>
      </c>
      <c r="X109" s="890">
        <v>3047</v>
      </c>
      <c r="Y109" s="891">
        <v>2426</v>
      </c>
      <c r="AA109" s="892">
        <v>10380</v>
      </c>
      <c r="AB109" s="893"/>
      <c r="AC109" s="888"/>
      <c r="AD109" s="894"/>
      <c r="AE109" s="895" t="s">
        <v>34</v>
      </c>
    </row>
    <row r="110" spans="1:31" ht="25.5" customHeight="1">
      <c r="A110" s="827" t="s">
        <v>2</v>
      </c>
      <c r="B110" s="820" t="s">
        <v>326</v>
      </c>
      <c r="C110" s="1039"/>
      <c r="D110" s="821" t="s">
        <v>137</v>
      </c>
      <c r="E110" s="829">
        <v>4002</v>
      </c>
      <c r="F110" s="822"/>
      <c r="G110" s="821"/>
      <c r="H110" s="823">
        <f t="shared" si="29"/>
        <v>1000</v>
      </c>
      <c r="I110" s="708">
        <f t="shared" si="29"/>
        <v>1000</v>
      </c>
      <c r="J110" s="823">
        <f t="shared" si="29"/>
        <v>0</v>
      </c>
      <c r="K110" s="519"/>
      <c r="L110" s="519"/>
      <c r="M110" s="519"/>
      <c r="N110" s="519"/>
      <c r="O110" s="519"/>
      <c r="P110" s="519"/>
      <c r="Q110" s="519"/>
      <c r="R110" s="519">
        <f>SUM(Q110:Q110)</f>
        <v>0</v>
      </c>
      <c r="S110" s="519"/>
      <c r="T110" s="519">
        <v>787</v>
      </c>
      <c r="U110" s="824">
        <v>787</v>
      </c>
      <c r="V110" s="824"/>
      <c r="W110" s="519">
        <v>213</v>
      </c>
      <c r="X110" s="824">
        <v>213</v>
      </c>
      <c r="Y110" s="830"/>
      <c r="AA110" s="813">
        <v>1000</v>
      </c>
      <c r="AB110" s="896"/>
      <c r="AC110" s="707"/>
      <c r="AD110" s="897"/>
      <c r="AE110" s="837" t="s">
        <v>34</v>
      </c>
    </row>
    <row r="111" spans="1:31" ht="25.5" customHeight="1">
      <c r="A111" s="827" t="s">
        <v>3</v>
      </c>
      <c r="B111" s="820" t="s">
        <v>326</v>
      </c>
      <c r="C111" s="898" t="s">
        <v>318</v>
      </c>
      <c r="D111" s="821" t="s">
        <v>498</v>
      </c>
      <c r="E111" s="829">
        <v>4003</v>
      </c>
      <c r="F111" s="822"/>
      <c r="G111" s="821"/>
      <c r="H111" s="823">
        <f>+K111+N111+Q111+T111+W111</f>
        <v>0</v>
      </c>
      <c r="I111" s="708">
        <f t="shared" si="29"/>
        <v>460</v>
      </c>
      <c r="J111" s="823">
        <f>+M111+P111+S111+V111+Y111</f>
        <v>456</v>
      </c>
      <c r="K111" s="519"/>
      <c r="L111" s="519"/>
      <c r="M111" s="519"/>
      <c r="N111" s="519"/>
      <c r="O111" s="519"/>
      <c r="P111" s="519"/>
      <c r="Q111" s="519"/>
      <c r="R111" s="519">
        <v>360</v>
      </c>
      <c r="S111" s="519">
        <v>359</v>
      </c>
      <c r="T111" s="519"/>
      <c r="U111" s="899"/>
      <c r="V111" s="519"/>
      <c r="W111" s="519"/>
      <c r="X111" s="900">
        <v>100</v>
      </c>
      <c r="Y111" s="830">
        <v>97</v>
      </c>
      <c r="AA111" s="901"/>
      <c r="AB111" s="902"/>
      <c r="AC111" s="903"/>
      <c r="AD111" s="904"/>
      <c r="AE111" s="784"/>
    </row>
    <row r="112" spans="1:31" ht="25.5" customHeight="1">
      <c r="A112" s="768" t="s">
        <v>4</v>
      </c>
      <c r="B112" s="833" t="s">
        <v>525</v>
      </c>
      <c r="C112" s="724" t="s">
        <v>526</v>
      </c>
      <c r="D112" s="769" t="s">
        <v>527</v>
      </c>
      <c r="E112" s="777">
        <v>4004</v>
      </c>
      <c r="F112" s="778"/>
      <c r="G112" s="769"/>
      <c r="H112" s="779">
        <f>+K112+N112+Q112+T112+W112</f>
        <v>0</v>
      </c>
      <c r="I112" s="779">
        <f t="shared" si="29"/>
        <v>47</v>
      </c>
      <c r="J112" s="779">
        <f>+M112+P112+S112+V112+Y112</f>
        <v>47</v>
      </c>
      <c r="K112" s="518"/>
      <c r="L112" s="518"/>
      <c r="M112" s="518"/>
      <c r="N112" s="518"/>
      <c r="O112" s="518"/>
      <c r="P112" s="518"/>
      <c r="Q112" s="518"/>
      <c r="R112" s="518">
        <v>37</v>
      </c>
      <c r="S112" s="518">
        <v>37</v>
      </c>
      <c r="T112" s="518"/>
      <c r="U112" s="905"/>
      <c r="V112" s="518"/>
      <c r="W112" s="518"/>
      <c r="X112" s="515">
        <v>10</v>
      </c>
      <c r="Y112" s="791">
        <v>10</v>
      </c>
      <c r="AA112" s="901"/>
      <c r="AB112" s="902"/>
      <c r="AC112" s="903"/>
      <c r="AD112" s="904"/>
      <c r="AE112" s="784"/>
    </row>
    <row r="113" spans="1:31" ht="15">
      <c r="A113" s="971"/>
      <c r="B113" s="972"/>
      <c r="C113" s="733"/>
      <c r="D113" s="859" t="s">
        <v>138</v>
      </c>
      <c r="E113" s="859"/>
      <c r="F113" s="516"/>
      <c r="G113" s="516"/>
      <c r="H113" s="516">
        <f>SUM(H109:H112)</f>
        <v>11380</v>
      </c>
      <c r="I113" s="516">
        <f>SUM(I109:I112)</f>
        <v>16087</v>
      </c>
      <c r="J113" s="516">
        <f>SUM(J109:J112)</f>
        <v>12542</v>
      </c>
      <c r="K113" s="516">
        <f aca="true" t="shared" si="30" ref="K113:P113">SUM(K109:K111)</f>
        <v>0</v>
      </c>
      <c r="L113" s="516">
        <f t="shared" si="30"/>
        <v>2161</v>
      </c>
      <c r="M113" s="516">
        <f t="shared" si="30"/>
        <v>2160</v>
      </c>
      <c r="N113" s="516">
        <f t="shared" si="30"/>
        <v>0</v>
      </c>
      <c r="O113" s="516">
        <f t="shared" si="30"/>
        <v>0</v>
      </c>
      <c r="P113" s="516">
        <f t="shared" si="30"/>
        <v>0</v>
      </c>
      <c r="Q113" s="516">
        <f>SUM(Q109:Q112)</f>
        <v>8189</v>
      </c>
      <c r="R113" s="516">
        <f aca="true" t="shared" si="31" ref="R113:Y113">SUM(R109:R112)</f>
        <v>7475</v>
      </c>
      <c r="S113" s="516">
        <f t="shared" si="31"/>
        <v>5392</v>
      </c>
      <c r="T113" s="516">
        <f t="shared" si="31"/>
        <v>787</v>
      </c>
      <c r="U113" s="516">
        <f t="shared" si="31"/>
        <v>3081</v>
      </c>
      <c r="V113" s="516">
        <f t="shared" si="31"/>
        <v>2457</v>
      </c>
      <c r="W113" s="516">
        <f t="shared" si="31"/>
        <v>2404</v>
      </c>
      <c r="X113" s="516">
        <f t="shared" si="31"/>
        <v>3370</v>
      </c>
      <c r="Y113" s="516">
        <f t="shared" si="31"/>
        <v>2533</v>
      </c>
      <c r="AA113" s="906">
        <f>SUM(AA109:AA110)</f>
        <v>11380</v>
      </c>
      <c r="AB113" s="907"/>
      <c r="AC113" s="908"/>
      <c r="AD113" s="909"/>
      <c r="AE113" s="740"/>
    </row>
    <row r="114" spans="1:31" ht="21" customHeight="1">
      <c r="A114" s="962" t="s">
        <v>139</v>
      </c>
      <c r="B114" s="961"/>
      <c r="C114" s="961"/>
      <c r="D114" s="961"/>
      <c r="E114" s="961"/>
      <c r="F114" s="961"/>
      <c r="G114" s="961"/>
      <c r="H114" s="961"/>
      <c r="I114" s="961"/>
      <c r="J114" s="961"/>
      <c r="K114" s="961"/>
      <c r="L114" s="961"/>
      <c r="M114" s="961"/>
      <c r="N114" s="961"/>
      <c r="O114" s="961"/>
      <c r="P114" s="961"/>
      <c r="Q114" s="961" t="s">
        <v>139</v>
      </c>
      <c r="R114" s="961"/>
      <c r="S114" s="961"/>
      <c r="T114" s="961"/>
      <c r="U114" s="961"/>
      <c r="V114" s="961"/>
      <c r="W114" s="961"/>
      <c r="X114" s="961"/>
      <c r="Y114" s="961"/>
      <c r="AA114" s="884"/>
      <c r="AB114" s="910"/>
      <c r="AC114" s="886"/>
      <c r="AD114" s="911"/>
      <c r="AE114" s="740"/>
    </row>
    <row r="115" spans="1:31" ht="15">
      <c r="A115" s="912" t="s">
        <v>1</v>
      </c>
      <c r="B115" s="913" t="s">
        <v>386</v>
      </c>
      <c r="C115" s="914" t="s">
        <v>386</v>
      </c>
      <c r="D115" s="914" t="s">
        <v>301</v>
      </c>
      <c r="E115" s="913" t="s">
        <v>499</v>
      </c>
      <c r="F115" s="913"/>
      <c r="G115" s="913"/>
      <c r="H115" s="915">
        <f aca="true" t="shared" si="32" ref="H115:J120">+K115+N115+Q115+T115+W115</f>
        <v>550</v>
      </c>
      <c r="I115" s="915">
        <f t="shared" si="32"/>
        <v>1109</v>
      </c>
      <c r="J115" s="915">
        <f t="shared" si="32"/>
        <v>806</v>
      </c>
      <c r="K115" s="523">
        <v>275</v>
      </c>
      <c r="L115" s="523">
        <f>275+75</f>
        <v>350</v>
      </c>
      <c r="M115" s="523">
        <v>350</v>
      </c>
      <c r="N115" s="523"/>
      <c r="O115" s="523">
        <f aca="true" t="shared" si="33" ref="O115:O120">SUM(N115:N115)</f>
        <v>0</v>
      </c>
      <c r="P115" s="523"/>
      <c r="Q115" s="523"/>
      <c r="R115" s="523">
        <f aca="true" t="shared" si="34" ref="R115:R120">SUM(Q115:Q115)</f>
        <v>0</v>
      </c>
      <c r="S115" s="523"/>
      <c r="T115" s="523">
        <v>157</v>
      </c>
      <c r="U115" s="523">
        <v>522</v>
      </c>
      <c r="V115" s="523">
        <v>285</v>
      </c>
      <c r="W115" s="523">
        <f>43+75</f>
        <v>118</v>
      </c>
      <c r="X115" s="523">
        <v>237</v>
      </c>
      <c r="Y115" s="916">
        <v>171</v>
      </c>
      <c r="AA115" s="892">
        <v>550</v>
      </c>
      <c r="AB115" s="886"/>
      <c r="AC115" s="886"/>
      <c r="AD115" s="911"/>
      <c r="AE115" s="917" t="s">
        <v>39</v>
      </c>
    </row>
    <row r="116" spans="1:31" ht="15">
      <c r="A116" s="918" t="s">
        <v>2</v>
      </c>
      <c r="B116" s="919" t="s">
        <v>386</v>
      </c>
      <c r="C116" s="919" t="s">
        <v>386</v>
      </c>
      <c r="D116" s="920" t="s">
        <v>300</v>
      </c>
      <c r="E116" s="919" t="s">
        <v>500</v>
      </c>
      <c r="F116" s="919"/>
      <c r="G116" s="919"/>
      <c r="H116" s="921">
        <f t="shared" si="32"/>
        <v>700</v>
      </c>
      <c r="I116" s="921">
        <f t="shared" si="32"/>
        <v>4198</v>
      </c>
      <c r="J116" s="921">
        <f t="shared" si="32"/>
        <v>3811</v>
      </c>
      <c r="K116" s="524">
        <v>394</v>
      </c>
      <c r="L116" s="524">
        <v>468</v>
      </c>
      <c r="M116" s="524">
        <v>350</v>
      </c>
      <c r="N116" s="524"/>
      <c r="O116" s="524">
        <v>0</v>
      </c>
      <c r="P116" s="524"/>
      <c r="Q116" s="524"/>
      <c r="R116" s="524">
        <v>13</v>
      </c>
      <c r="S116" s="524">
        <v>13</v>
      </c>
      <c r="T116" s="524">
        <v>157</v>
      </c>
      <c r="U116" s="524">
        <v>2834</v>
      </c>
      <c r="V116" s="524">
        <v>2638</v>
      </c>
      <c r="W116" s="524">
        <v>149</v>
      </c>
      <c r="X116" s="524">
        <v>883</v>
      </c>
      <c r="Y116" s="922">
        <v>810</v>
      </c>
      <c r="AA116" s="813">
        <v>700</v>
      </c>
      <c r="AB116" s="705"/>
      <c r="AC116" s="705"/>
      <c r="AD116" s="709"/>
      <c r="AE116" s="814" t="s">
        <v>39</v>
      </c>
    </row>
    <row r="117" spans="1:31" ht="30">
      <c r="A117" s="918" t="s">
        <v>3</v>
      </c>
      <c r="B117" s="919" t="s">
        <v>386</v>
      </c>
      <c r="C117" s="920" t="s">
        <v>386</v>
      </c>
      <c r="D117" s="920" t="s">
        <v>299</v>
      </c>
      <c r="E117" s="920" t="s">
        <v>528</v>
      </c>
      <c r="F117" s="919"/>
      <c r="G117" s="919"/>
      <c r="H117" s="921">
        <f t="shared" si="32"/>
        <v>400</v>
      </c>
      <c r="I117" s="921">
        <f t="shared" si="32"/>
        <v>2259</v>
      </c>
      <c r="J117" s="921">
        <v>1336</v>
      </c>
      <c r="K117" s="524"/>
      <c r="L117" s="524">
        <f>SUM(K117:K117)</f>
        <v>0</v>
      </c>
      <c r="M117" s="524"/>
      <c r="N117" s="524"/>
      <c r="O117" s="524">
        <f t="shared" si="33"/>
        <v>0</v>
      </c>
      <c r="P117" s="524"/>
      <c r="Q117" s="524"/>
      <c r="R117" s="524">
        <v>21</v>
      </c>
      <c r="S117" s="524">
        <v>21</v>
      </c>
      <c r="T117" s="524">
        <v>314</v>
      </c>
      <c r="U117" s="524">
        <v>1785</v>
      </c>
      <c r="V117" s="524">
        <v>1031</v>
      </c>
      <c r="W117" s="524">
        <v>86</v>
      </c>
      <c r="X117" s="524">
        <v>453</v>
      </c>
      <c r="Y117" s="922">
        <v>284</v>
      </c>
      <c r="AA117" s="813">
        <v>400</v>
      </c>
      <c r="AB117" s="705"/>
      <c r="AC117" s="705"/>
      <c r="AD117" s="709"/>
      <c r="AE117" s="814" t="s">
        <v>39</v>
      </c>
    </row>
    <row r="118" spans="1:31" ht="15">
      <c r="A118" s="918" t="s">
        <v>4</v>
      </c>
      <c r="B118" s="919" t="s">
        <v>386</v>
      </c>
      <c r="C118" s="919" t="s">
        <v>386</v>
      </c>
      <c r="D118" s="920" t="s">
        <v>298</v>
      </c>
      <c r="E118" s="919" t="s">
        <v>501</v>
      </c>
      <c r="F118" s="919"/>
      <c r="G118" s="919"/>
      <c r="H118" s="921">
        <f t="shared" si="32"/>
        <v>3600</v>
      </c>
      <c r="I118" s="921">
        <f t="shared" si="32"/>
        <v>4375</v>
      </c>
      <c r="J118" s="921">
        <v>1689</v>
      </c>
      <c r="K118" s="524"/>
      <c r="L118" s="524">
        <v>76</v>
      </c>
      <c r="M118" s="524">
        <v>75</v>
      </c>
      <c r="N118" s="524"/>
      <c r="O118" s="524">
        <f t="shared" si="33"/>
        <v>0</v>
      </c>
      <c r="P118" s="524"/>
      <c r="Q118" s="524"/>
      <c r="R118" s="524">
        <f t="shared" si="34"/>
        <v>0</v>
      </c>
      <c r="S118" s="524"/>
      <c r="T118" s="524">
        <v>2832</v>
      </c>
      <c r="U118" s="524">
        <v>3403</v>
      </c>
      <c r="V118" s="524">
        <v>1263</v>
      </c>
      <c r="W118" s="524">
        <v>768</v>
      </c>
      <c r="X118" s="524">
        <v>896</v>
      </c>
      <c r="Y118" s="922">
        <v>351</v>
      </c>
      <c r="AA118" s="813">
        <v>3600</v>
      </c>
      <c r="AB118" s="705"/>
      <c r="AC118" s="705"/>
      <c r="AD118" s="709"/>
      <c r="AE118" s="814" t="s">
        <v>39</v>
      </c>
    </row>
    <row r="119" spans="1:31" ht="30">
      <c r="A119" s="918" t="s">
        <v>5</v>
      </c>
      <c r="B119" s="919" t="s">
        <v>386</v>
      </c>
      <c r="C119" s="919" t="s">
        <v>386</v>
      </c>
      <c r="D119" s="920" t="s">
        <v>297</v>
      </c>
      <c r="E119" s="919" t="s">
        <v>385</v>
      </c>
      <c r="F119" s="919"/>
      <c r="G119" s="919"/>
      <c r="H119" s="921">
        <f t="shared" si="32"/>
        <v>400</v>
      </c>
      <c r="I119" s="921">
        <f t="shared" si="32"/>
        <v>944</v>
      </c>
      <c r="J119" s="921">
        <v>719</v>
      </c>
      <c r="K119" s="524"/>
      <c r="L119" s="524">
        <f>SUM(K119:K119)</f>
        <v>0</v>
      </c>
      <c r="M119" s="524"/>
      <c r="N119" s="524"/>
      <c r="O119" s="524">
        <f t="shared" si="33"/>
        <v>0</v>
      </c>
      <c r="P119" s="524"/>
      <c r="Q119" s="524"/>
      <c r="R119" s="524">
        <v>439</v>
      </c>
      <c r="S119" s="524">
        <v>382</v>
      </c>
      <c r="T119" s="524">
        <v>314</v>
      </c>
      <c r="U119" s="524">
        <v>315</v>
      </c>
      <c r="V119" s="524">
        <v>203</v>
      </c>
      <c r="W119" s="524">
        <v>86</v>
      </c>
      <c r="X119" s="524">
        <v>190</v>
      </c>
      <c r="Y119" s="922">
        <v>134</v>
      </c>
      <c r="AA119" s="813">
        <v>400</v>
      </c>
      <c r="AB119" s="705"/>
      <c r="AC119" s="705"/>
      <c r="AD119" s="709"/>
      <c r="AE119" s="814" t="s">
        <v>39</v>
      </c>
    </row>
    <row r="120" spans="1:31" ht="30">
      <c r="A120" s="923" t="s">
        <v>6</v>
      </c>
      <c r="B120" s="924" t="s">
        <v>386</v>
      </c>
      <c r="C120" s="924" t="s">
        <v>386</v>
      </c>
      <c r="D120" s="925" t="s">
        <v>296</v>
      </c>
      <c r="E120" s="924" t="s">
        <v>529</v>
      </c>
      <c r="F120" s="924"/>
      <c r="G120" s="924"/>
      <c r="H120" s="926">
        <f t="shared" si="32"/>
        <v>200</v>
      </c>
      <c r="I120" s="926">
        <f t="shared" si="32"/>
        <v>209</v>
      </c>
      <c r="J120" s="926">
        <v>70</v>
      </c>
      <c r="K120" s="525"/>
      <c r="L120" s="525">
        <f>SUM(K120:K120)</f>
        <v>0</v>
      </c>
      <c r="M120" s="525"/>
      <c r="N120" s="525"/>
      <c r="O120" s="525">
        <f t="shared" si="33"/>
        <v>0</v>
      </c>
      <c r="P120" s="525"/>
      <c r="Q120" s="525"/>
      <c r="R120" s="525">
        <f t="shared" si="34"/>
        <v>0</v>
      </c>
      <c r="S120" s="525"/>
      <c r="T120" s="525">
        <v>157</v>
      </c>
      <c r="U120" s="525">
        <v>164</v>
      </c>
      <c r="V120" s="525">
        <v>55</v>
      </c>
      <c r="W120" s="525">
        <v>43</v>
      </c>
      <c r="X120" s="525">
        <v>45</v>
      </c>
      <c r="Y120" s="927">
        <v>15</v>
      </c>
      <c r="AA120" s="836">
        <v>200</v>
      </c>
      <c r="AB120" s="769"/>
      <c r="AC120" s="769"/>
      <c r="AD120" s="928"/>
      <c r="AE120" s="837" t="s">
        <v>39</v>
      </c>
    </row>
    <row r="121" spans="1:31" ht="15">
      <c r="A121" s="782"/>
      <c r="B121" s="929"/>
      <c r="C121" s="929"/>
      <c r="D121" s="859" t="s">
        <v>140</v>
      </c>
      <c r="E121" s="859"/>
      <c r="F121" s="526">
        <f aca="true" t="shared" si="35" ref="F121:Y121">SUM(F115:F120)</f>
        <v>0</v>
      </c>
      <c r="G121" s="526">
        <f t="shared" si="35"/>
        <v>0</v>
      </c>
      <c r="H121" s="526">
        <f t="shared" si="35"/>
        <v>5850</v>
      </c>
      <c r="I121" s="526">
        <f t="shared" si="35"/>
        <v>13094</v>
      </c>
      <c r="J121" s="526">
        <f t="shared" si="35"/>
        <v>8431</v>
      </c>
      <c r="K121" s="526">
        <f t="shared" si="35"/>
        <v>669</v>
      </c>
      <c r="L121" s="526">
        <f t="shared" si="35"/>
        <v>894</v>
      </c>
      <c r="M121" s="526">
        <f t="shared" si="35"/>
        <v>775</v>
      </c>
      <c r="N121" s="526">
        <f t="shared" si="35"/>
        <v>0</v>
      </c>
      <c r="O121" s="526">
        <f t="shared" si="35"/>
        <v>0</v>
      </c>
      <c r="P121" s="526">
        <f t="shared" si="35"/>
        <v>0</v>
      </c>
      <c r="Q121" s="526">
        <f t="shared" si="35"/>
        <v>0</v>
      </c>
      <c r="R121" s="526">
        <f t="shared" si="35"/>
        <v>473</v>
      </c>
      <c r="S121" s="526">
        <f t="shared" si="35"/>
        <v>416</v>
      </c>
      <c r="T121" s="526">
        <f t="shared" si="35"/>
        <v>3931</v>
      </c>
      <c r="U121" s="526">
        <f t="shared" si="35"/>
        <v>9023</v>
      </c>
      <c r="V121" s="526">
        <f t="shared" si="35"/>
        <v>5475</v>
      </c>
      <c r="W121" s="526">
        <f t="shared" si="35"/>
        <v>1250</v>
      </c>
      <c r="X121" s="526">
        <f t="shared" si="35"/>
        <v>2704</v>
      </c>
      <c r="Y121" s="526">
        <f t="shared" si="35"/>
        <v>1765</v>
      </c>
      <c r="AA121" s="906">
        <f>SUM(AA115:AA120)</f>
        <v>5850</v>
      </c>
      <c r="AB121" s="930">
        <f>SUM(AB115:AB120)</f>
        <v>0</v>
      </c>
      <c r="AC121" s="930">
        <f>SUM(AC115:AC120)</f>
        <v>0</v>
      </c>
      <c r="AD121" s="931">
        <f>SUM(AD115:AD120)</f>
        <v>0</v>
      </c>
      <c r="AE121" s="784"/>
    </row>
    <row r="122" ht="24.75" customHeight="1">
      <c r="B122" s="510" t="s">
        <v>334</v>
      </c>
    </row>
    <row r="123" spans="1:25" ht="1.5" customHeight="1">
      <c r="A123" s="1042" t="s">
        <v>141</v>
      </c>
      <c r="B123" s="1043"/>
      <c r="C123" s="1043"/>
      <c r="D123" s="1043"/>
      <c r="E123" s="1043"/>
      <c r="F123" s="1043"/>
      <c r="G123" s="1043"/>
      <c r="H123" s="932" t="e">
        <f>SUM(K123:W123)</f>
        <v>#REF!</v>
      </c>
      <c r="I123" s="932"/>
      <c r="J123" s="932"/>
      <c r="K123" s="527" t="e">
        <f>+K11+K54+K56+K72+#REF!+#REF!+#REF!+K109+K110</f>
        <v>#REF!</v>
      </c>
      <c r="L123" s="527"/>
      <c r="M123" s="527"/>
      <c r="N123" s="527" t="e">
        <f>+N11+N54+#REF!+#REF!+N109+N110</f>
        <v>#REF!</v>
      </c>
      <c r="O123" s="527"/>
      <c r="P123" s="527"/>
      <c r="Q123" s="527"/>
      <c r="R123" s="527"/>
      <c r="S123" s="527"/>
      <c r="T123" s="527" t="e">
        <f>+T11+T54+T56+T72+#REF!+#REF!+#REF!+T109+T110</f>
        <v>#REF!</v>
      </c>
      <c r="U123" s="933"/>
      <c r="V123" s="933"/>
      <c r="W123" s="934" t="e">
        <f>+W11+W54+W56+W72+#REF!+#REF!+#REF!+W109+W110</f>
        <v>#REF!</v>
      </c>
      <c r="X123" s="935"/>
      <c r="Y123" s="935"/>
    </row>
    <row r="124" spans="1:25" ht="15" customHeight="1" hidden="1">
      <c r="A124" s="1040" t="s">
        <v>142</v>
      </c>
      <c r="B124" s="1041"/>
      <c r="C124" s="1041"/>
      <c r="D124" s="1041"/>
      <c r="E124" s="1041"/>
      <c r="F124" s="1041"/>
      <c r="G124" s="1041"/>
      <c r="H124" s="936" t="e">
        <f>SUM(K124:W124)</f>
        <v>#REF!</v>
      </c>
      <c r="I124" s="936"/>
      <c r="J124" s="936"/>
      <c r="K124" s="528" t="e">
        <f>+K32+K73+#REF!+K76+#REF!+#REF!+#REF!+#REF!+#REF!+#REF!</f>
        <v>#REF!</v>
      </c>
      <c r="L124" s="528"/>
      <c r="M124" s="528"/>
      <c r="N124" s="528" t="e">
        <f>+N32+N73+#REF!+N76+#REF!+#REF!+#REF!+#REF!+#REF!+#REF!</f>
        <v>#REF!</v>
      </c>
      <c r="O124" s="528"/>
      <c r="P124" s="528"/>
      <c r="Q124" s="528"/>
      <c r="R124" s="528"/>
      <c r="S124" s="528"/>
      <c r="T124" s="528" t="e">
        <f>+T32+T73+#REF!+T76+#REF!+#REF!+#REF!+#REF!+#REF!+#REF!</f>
        <v>#REF!</v>
      </c>
      <c r="U124" s="937"/>
      <c r="V124" s="937"/>
      <c r="W124" s="938" t="e">
        <f>+W32+W73+#REF!+W76+#REF!+#REF!+#REF!+#REF!+#REF!+#REF!</f>
        <v>#REF!</v>
      </c>
      <c r="X124" s="939"/>
      <c r="Y124" s="939"/>
    </row>
    <row r="125" spans="1:25" ht="15" customHeight="1" hidden="1">
      <c r="A125" s="1040" t="s">
        <v>143</v>
      </c>
      <c r="B125" s="1041"/>
      <c r="C125" s="1041"/>
      <c r="D125" s="1041"/>
      <c r="E125" s="1041"/>
      <c r="F125" s="1041"/>
      <c r="G125" s="1041"/>
      <c r="H125" s="940">
        <f>SUM(K125:W125)</f>
        <v>0</v>
      </c>
      <c r="I125" s="940"/>
      <c r="J125" s="940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941"/>
      <c r="V125" s="941"/>
      <c r="W125" s="942">
        <v>0</v>
      </c>
      <c r="X125" s="943"/>
      <c r="Y125" s="943"/>
    </row>
    <row r="126" spans="1:25" ht="15" customHeight="1" hidden="1">
      <c r="A126" s="1030" t="s">
        <v>27</v>
      </c>
      <c r="B126" s="1031"/>
      <c r="C126" s="1031"/>
      <c r="D126" s="1031"/>
      <c r="E126" s="1031"/>
      <c r="F126" s="1031"/>
      <c r="G126" s="1031"/>
      <c r="H126" s="530" t="e">
        <f>SUM(H123:H125)</f>
        <v>#REF!</v>
      </c>
      <c r="I126" s="530"/>
      <c r="J126" s="530"/>
      <c r="K126" s="530" t="e">
        <f>SUM(K123:K125)</f>
        <v>#REF!</v>
      </c>
      <c r="L126" s="530"/>
      <c r="M126" s="530"/>
      <c r="N126" s="530" t="e">
        <f>SUM(N123:N125)</f>
        <v>#REF!</v>
      </c>
      <c r="O126" s="530"/>
      <c r="P126" s="530"/>
      <c r="Q126" s="530"/>
      <c r="R126" s="530"/>
      <c r="S126" s="530"/>
      <c r="T126" s="530" t="e">
        <f>SUM(T123:T125)</f>
        <v>#REF!</v>
      </c>
      <c r="U126" s="944"/>
      <c r="V126" s="944"/>
      <c r="W126" s="945" t="e">
        <f>SUM(W123:W125)</f>
        <v>#REF!</v>
      </c>
      <c r="X126" s="946"/>
      <c r="Y126" s="946"/>
    </row>
    <row r="127" spans="9:10" ht="15">
      <c r="I127" s="883"/>
      <c r="J127" s="883"/>
    </row>
  </sheetData>
  <sheetProtection/>
  <mergeCells count="91">
    <mergeCell ref="AA18:AA27"/>
    <mergeCell ref="W5:Y6"/>
    <mergeCell ref="Q17:Y17"/>
    <mergeCell ref="AD5:AD8"/>
    <mergeCell ref="Q5:S6"/>
    <mergeCell ref="C5:C7"/>
    <mergeCell ref="D5:D7"/>
    <mergeCell ref="AA5:AC5"/>
    <mergeCell ref="AE5:AE8"/>
    <mergeCell ref="AA6:AA8"/>
    <mergeCell ref="AB6:AB8"/>
    <mergeCell ref="AC6:AC8"/>
    <mergeCell ref="E35:E43"/>
    <mergeCell ref="A32:B32"/>
    <mergeCell ref="B18:B31"/>
    <mergeCell ref="A1:AD1"/>
    <mergeCell ref="A2:AD2"/>
    <mergeCell ref="A3:AD3"/>
    <mergeCell ref="AC4:AD4"/>
    <mergeCell ref="T8:V8"/>
    <mergeCell ref="T5:V6"/>
    <mergeCell ref="B5:B6"/>
    <mergeCell ref="A126:G126"/>
    <mergeCell ref="A99:B99"/>
    <mergeCell ref="A106:B106"/>
    <mergeCell ref="A107:D107"/>
    <mergeCell ref="C109:C110"/>
    <mergeCell ref="A125:G125"/>
    <mergeCell ref="A123:G123"/>
    <mergeCell ref="A124:G124"/>
    <mergeCell ref="A108:P108"/>
    <mergeCell ref="C78:C79"/>
    <mergeCell ref="C74:C76"/>
    <mergeCell ref="Q96:Y96"/>
    <mergeCell ref="AA55:AD55"/>
    <mergeCell ref="C18:C31"/>
    <mergeCell ref="A101:P101"/>
    <mergeCell ref="P35:P43"/>
    <mergeCell ref="J35:J43"/>
    <mergeCell ref="A54:B54"/>
    <mergeCell ref="AC35:AC46"/>
    <mergeCell ref="AA96:AD96"/>
    <mergeCell ref="K8:M8"/>
    <mergeCell ref="Q8:S8"/>
    <mergeCell ref="Q101:Y101"/>
    <mergeCell ref="AE35:AE46"/>
    <mergeCell ref="H5:J6"/>
    <mergeCell ref="W8:Y8"/>
    <mergeCell ref="S11:S12"/>
    <mergeCell ref="AE18:AE29"/>
    <mergeCell ref="H7:H8"/>
    <mergeCell ref="AA35:AA46"/>
    <mergeCell ref="J7:J8"/>
    <mergeCell ref="Q34:Y34"/>
    <mergeCell ref="AC18:AC27"/>
    <mergeCell ref="K5:M6"/>
    <mergeCell ref="N5:P6"/>
    <mergeCell ref="Q10:Y10"/>
    <mergeCell ref="J18:J25"/>
    <mergeCell ref="P18:P25"/>
    <mergeCell ref="A34:P34"/>
    <mergeCell ref="A94:B94"/>
    <mergeCell ref="N8:P8"/>
    <mergeCell ref="Q55:Y55"/>
    <mergeCell ref="V11:V12"/>
    <mergeCell ref="Y18:Y25"/>
    <mergeCell ref="E5:E8"/>
    <mergeCell ref="F6:F8"/>
    <mergeCell ref="A8:D8"/>
    <mergeCell ref="G5:G8"/>
    <mergeCell ref="Y35:Y43"/>
    <mergeCell ref="A55:P55"/>
    <mergeCell ref="C35:C52"/>
    <mergeCell ref="B35:B52"/>
    <mergeCell ref="M11:M12"/>
    <mergeCell ref="I7:I8"/>
    <mergeCell ref="A10:P10"/>
    <mergeCell ref="A5:A7"/>
    <mergeCell ref="A15:B15"/>
    <mergeCell ref="C11:C12"/>
    <mergeCell ref="J11:J12"/>
    <mergeCell ref="Q108:Y108"/>
    <mergeCell ref="A114:P114"/>
    <mergeCell ref="Q114:Y114"/>
    <mergeCell ref="AA47:AA52"/>
    <mergeCell ref="C56:C71"/>
    <mergeCell ref="P11:P12"/>
    <mergeCell ref="Y11:Y12"/>
    <mergeCell ref="A96:P96"/>
    <mergeCell ref="A113:B113"/>
    <mergeCell ref="A17:P17"/>
  </mergeCells>
  <printOptions horizontalCentered="1" verticalCentered="1"/>
  <pageMargins left="0.31496062992125984" right="0.15748031496062992" top="0.2755905511811024" bottom="0.31496062992125984" header="0.15748031496062992" footer="0.15748031496062992"/>
  <pageSetup horizontalDpi="600" verticalDpi="600" orientation="landscape" paperSize="9" scale="44" r:id="rId1"/>
  <headerFooter>
    <oddHeader>&amp;R&amp;8&amp;A&amp;A</oddHeader>
    <oddFooter>&amp;C&amp;8&amp;P/&amp;N</oddFooter>
  </headerFooter>
  <rowBreaks count="2" manualBreakCount="2">
    <brk id="54" max="24" man="1"/>
    <brk id="85" max="30" man="1"/>
  </rowBreaks>
  <colBreaks count="1" manualBreakCount="1">
    <brk id="16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26"/>
  <sheetViews>
    <sheetView view="pageBreakPreview" zoomScaleSheetLayoutView="100" zoomScalePageLayoutView="0" workbookViewId="0" topLeftCell="E4">
      <selection activeCell="Y17" sqref="Y17"/>
    </sheetView>
  </sheetViews>
  <sheetFormatPr defaultColWidth="9.00390625" defaultRowHeight="12.75"/>
  <cols>
    <col min="1" max="1" width="2.75390625" style="115" customWidth="1"/>
    <col min="2" max="2" width="3.25390625" style="115" customWidth="1"/>
    <col min="3" max="3" width="5.125" style="115" customWidth="1"/>
    <col min="4" max="4" width="36.375" style="115" customWidth="1"/>
    <col min="5" max="23" width="10.00390625" style="115" customWidth="1"/>
    <col min="24" max="24" width="9.125" style="115" customWidth="1"/>
    <col min="25" max="25" width="10.625" style="115" bestFit="1" customWidth="1"/>
    <col min="26" max="16384" width="9.125" style="115" customWidth="1"/>
  </cols>
  <sheetData>
    <row r="1" spans="1:24" ht="18.75" customHeight="1">
      <c r="A1" s="1093" t="s">
        <v>16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289"/>
      <c r="P1" s="289"/>
      <c r="Q1" s="289"/>
      <c r="R1" s="289"/>
      <c r="S1" s="289"/>
      <c r="T1" s="289"/>
      <c r="U1" s="289"/>
      <c r="V1" s="289"/>
      <c r="W1" s="156"/>
      <c r="X1" s="156"/>
    </row>
    <row r="2" spans="1:24" ht="18.75" customHeight="1">
      <c r="A2" s="1094" t="s">
        <v>144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1094"/>
      <c r="S2" s="1094"/>
      <c r="T2" s="1094"/>
      <c r="U2" s="1094"/>
      <c r="V2" s="1094"/>
      <c r="W2" s="1094"/>
      <c r="X2" s="156"/>
    </row>
    <row r="3" spans="1:24" ht="18.75" customHeight="1">
      <c r="A3" s="1094" t="s">
        <v>558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56"/>
    </row>
    <row r="4" ht="15">
      <c r="W4" s="157" t="s">
        <v>18</v>
      </c>
    </row>
    <row r="5" spans="1:23" ht="36" customHeight="1">
      <c r="A5" s="1070" t="s">
        <v>67</v>
      </c>
      <c r="B5" s="1078" t="s">
        <v>68</v>
      </c>
      <c r="C5" s="1078" t="s">
        <v>45</v>
      </c>
      <c r="D5" s="1076" t="s">
        <v>21</v>
      </c>
      <c r="E5" s="1072" t="s">
        <v>145</v>
      </c>
      <c r="F5" s="1073"/>
      <c r="G5" s="1074"/>
      <c r="H5" s="1072" t="s">
        <v>146</v>
      </c>
      <c r="I5" s="1073"/>
      <c r="J5" s="1074"/>
      <c r="K5" s="1072" t="s">
        <v>147</v>
      </c>
      <c r="L5" s="1073"/>
      <c r="M5" s="1074"/>
      <c r="N5" s="1072" t="s">
        <v>148</v>
      </c>
      <c r="O5" s="1073"/>
      <c r="P5" s="1075"/>
      <c r="Q5" s="1080" t="s">
        <v>559</v>
      </c>
      <c r="R5" s="1073"/>
      <c r="S5" s="1075"/>
      <c r="T5" s="1072" t="s">
        <v>519</v>
      </c>
      <c r="U5" s="1073"/>
      <c r="V5" s="1075"/>
      <c r="W5" s="1095" t="s">
        <v>288</v>
      </c>
    </row>
    <row r="6" spans="1:23" ht="38.25" customHeight="1">
      <c r="A6" s="1071"/>
      <c r="B6" s="1079"/>
      <c r="C6" s="1079"/>
      <c r="D6" s="1077"/>
      <c r="E6" s="335" t="s">
        <v>322</v>
      </c>
      <c r="F6" s="336" t="s">
        <v>319</v>
      </c>
      <c r="G6" s="335" t="s">
        <v>497</v>
      </c>
      <c r="H6" s="335" t="s">
        <v>322</v>
      </c>
      <c r="I6" s="336" t="s">
        <v>319</v>
      </c>
      <c r="J6" s="335" t="s">
        <v>497</v>
      </c>
      <c r="K6" s="335" t="s">
        <v>322</v>
      </c>
      <c r="L6" s="336" t="s">
        <v>319</v>
      </c>
      <c r="M6" s="335" t="s">
        <v>497</v>
      </c>
      <c r="N6" s="447" t="s">
        <v>322</v>
      </c>
      <c r="O6" s="448" t="s">
        <v>319</v>
      </c>
      <c r="P6" s="446" t="s">
        <v>497</v>
      </c>
      <c r="Q6" s="447" t="s">
        <v>322</v>
      </c>
      <c r="R6" s="448" t="s">
        <v>319</v>
      </c>
      <c r="S6" s="446" t="s">
        <v>497</v>
      </c>
      <c r="T6" s="447" t="s">
        <v>322</v>
      </c>
      <c r="U6" s="448" t="s">
        <v>319</v>
      </c>
      <c r="V6" s="446" t="s">
        <v>497</v>
      </c>
      <c r="W6" s="1096"/>
    </row>
    <row r="7" spans="1:23" ht="18" customHeight="1">
      <c r="A7" s="1083" t="s">
        <v>149</v>
      </c>
      <c r="B7" s="1084"/>
      <c r="C7" s="1084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5"/>
    </row>
    <row r="8" spans="1:23" ht="24" customHeight="1">
      <c r="A8" s="132" t="s">
        <v>1</v>
      </c>
      <c r="B8" s="132"/>
      <c r="C8" s="506" t="s">
        <v>150</v>
      </c>
      <c r="D8" s="132" t="s">
        <v>151</v>
      </c>
      <c r="E8" s="504">
        <v>2000</v>
      </c>
      <c r="F8" s="504">
        <v>905</v>
      </c>
      <c r="G8" s="504">
        <v>904</v>
      </c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7" t="s">
        <v>39</v>
      </c>
    </row>
    <row r="9" spans="1:23" ht="30">
      <c r="A9" s="132" t="s">
        <v>2</v>
      </c>
      <c r="B9" s="132"/>
      <c r="C9" s="506" t="s">
        <v>152</v>
      </c>
      <c r="D9" s="508" t="s">
        <v>153</v>
      </c>
      <c r="E9" s="504"/>
      <c r="F9" s="504">
        <f>SUM(E9:E9)</f>
        <v>0</v>
      </c>
      <c r="G9" s="504"/>
      <c r="H9" s="504">
        <v>500</v>
      </c>
      <c r="I9" s="504">
        <f>SUM(H9:H9)</f>
        <v>500</v>
      </c>
      <c r="J9" s="504">
        <v>500</v>
      </c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7" t="s">
        <v>39</v>
      </c>
    </row>
    <row r="10" spans="1:23" ht="30">
      <c r="A10" s="132" t="s">
        <v>3</v>
      </c>
      <c r="B10" s="132"/>
      <c r="C10" s="506" t="s">
        <v>154</v>
      </c>
      <c r="D10" s="508" t="s">
        <v>155</v>
      </c>
      <c r="E10" s="504">
        <v>1500</v>
      </c>
      <c r="F10" s="504">
        <f>SUM(E10:E10)</f>
        <v>1500</v>
      </c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7" t="s">
        <v>39</v>
      </c>
    </row>
    <row r="11" spans="1:23" ht="30">
      <c r="A11" s="132" t="s">
        <v>4</v>
      </c>
      <c r="B11" s="132"/>
      <c r="C11" s="506" t="s">
        <v>154</v>
      </c>
      <c r="D11" s="508" t="s">
        <v>156</v>
      </c>
      <c r="E11" s="504">
        <v>1500</v>
      </c>
      <c r="F11" s="504">
        <f>SUM(E11:E11)</f>
        <v>1500</v>
      </c>
      <c r="G11" s="504">
        <v>1500</v>
      </c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7" t="s">
        <v>39</v>
      </c>
    </row>
    <row r="12" spans="1:23" ht="30">
      <c r="A12" s="132" t="s">
        <v>5</v>
      </c>
      <c r="B12" s="132"/>
      <c r="C12" s="506" t="s">
        <v>150</v>
      </c>
      <c r="D12" s="508" t="s">
        <v>157</v>
      </c>
      <c r="E12" s="504"/>
      <c r="F12" s="504">
        <f>SUM(E12:E12)</f>
        <v>0</v>
      </c>
      <c r="G12" s="504"/>
      <c r="H12" s="504"/>
      <c r="I12" s="504"/>
      <c r="J12" s="504"/>
      <c r="K12" s="504">
        <v>10000</v>
      </c>
      <c r="L12" s="504">
        <f>SUM(K12:K12)</f>
        <v>10000</v>
      </c>
      <c r="M12" s="504">
        <v>10000</v>
      </c>
      <c r="N12" s="504"/>
      <c r="O12" s="504"/>
      <c r="P12" s="504"/>
      <c r="Q12" s="504"/>
      <c r="R12" s="504"/>
      <c r="S12" s="504"/>
      <c r="T12" s="504"/>
      <c r="U12" s="504"/>
      <c r="V12" s="504"/>
      <c r="W12" s="507" t="s">
        <v>39</v>
      </c>
    </row>
    <row r="13" spans="1:23" ht="21.75" customHeight="1">
      <c r="A13" s="132" t="s">
        <v>6</v>
      </c>
      <c r="B13" s="132"/>
      <c r="C13" s="506" t="s">
        <v>150</v>
      </c>
      <c r="D13" s="508" t="s">
        <v>545</v>
      </c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>
        <v>2037</v>
      </c>
      <c r="S13" s="504">
        <v>2037</v>
      </c>
      <c r="T13" s="504"/>
      <c r="U13" s="504"/>
      <c r="V13" s="504"/>
      <c r="W13" s="507"/>
    </row>
    <row r="14" spans="1:23" ht="30">
      <c r="A14" s="132" t="s">
        <v>7</v>
      </c>
      <c r="B14" s="132"/>
      <c r="C14" s="506" t="s">
        <v>160</v>
      </c>
      <c r="D14" s="508" t="s">
        <v>161</v>
      </c>
      <c r="E14" s="504"/>
      <c r="F14" s="504">
        <v>1000</v>
      </c>
      <c r="G14" s="504">
        <v>1000</v>
      </c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7"/>
    </row>
    <row r="15" spans="1:23" ht="15">
      <c r="A15" s="132" t="s">
        <v>6</v>
      </c>
      <c r="B15" s="132"/>
      <c r="C15" s="506" t="s">
        <v>150</v>
      </c>
      <c r="D15" s="508" t="s">
        <v>520</v>
      </c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>
        <v>30000</v>
      </c>
      <c r="V15" s="504">
        <v>30000</v>
      </c>
      <c r="W15" s="507" t="s">
        <v>39</v>
      </c>
    </row>
    <row r="16" spans="1:25" s="114" customFormat="1" ht="22.5" customHeight="1">
      <c r="A16" s="1086" t="s">
        <v>158</v>
      </c>
      <c r="B16" s="1086"/>
      <c r="C16" s="1086"/>
      <c r="D16" s="1086"/>
      <c r="E16" s="505">
        <f>SUM(E8:E15)</f>
        <v>5000</v>
      </c>
      <c r="F16" s="505">
        <f>SUM(F8:F15)</f>
        <v>4905</v>
      </c>
      <c r="G16" s="505">
        <f aca="true" t="shared" si="0" ref="G16:V16">SUM(G8:G15)</f>
        <v>3404</v>
      </c>
      <c r="H16" s="505">
        <f t="shared" si="0"/>
        <v>500</v>
      </c>
      <c r="I16" s="505">
        <f t="shared" si="0"/>
        <v>500</v>
      </c>
      <c r="J16" s="505">
        <f t="shared" si="0"/>
        <v>500</v>
      </c>
      <c r="K16" s="505">
        <f t="shared" si="0"/>
        <v>10000</v>
      </c>
      <c r="L16" s="505">
        <f t="shared" si="0"/>
        <v>10000</v>
      </c>
      <c r="M16" s="505">
        <f t="shared" si="0"/>
        <v>10000</v>
      </c>
      <c r="N16" s="505">
        <f t="shared" si="0"/>
        <v>0</v>
      </c>
      <c r="O16" s="505">
        <f t="shared" si="0"/>
        <v>0</v>
      </c>
      <c r="P16" s="505">
        <f t="shared" si="0"/>
        <v>0</v>
      </c>
      <c r="Q16" s="505">
        <f>SUM(Q8:Q15)</f>
        <v>0</v>
      </c>
      <c r="R16" s="505">
        <f>SUM(R8:R15)</f>
        <v>2037</v>
      </c>
      <c r="S16" s="505">
        <f>SUM(S8:S15)</f>
        <v>2037</v>
      </c>
      <c r="T16" s="505">
        <f t="shared" si="0"/>
        <v>0</v>
      </c>
      <c r="U16" s="505">
        <f t="shared" si="0"/>
        <v>30000</v>
      </c>
      <c r="V16" s="505">
        <f t="shared" si="0"/>
        <v>30000</v>
      </c>
      <c r="W16" s="421"/>
      <c r="Y16" s="960">
        <f>+U16+R16+L16+I16+F16</f>
        <v>47442</v>
      </c>
    </row>
    <row r="17" spans="1:23" ht="15">
      <c r="A17" s="1083" t="s">
        <v>159</v>
      </c>
      <c r="B17" s="1084"/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  <c r="T17" s="1084"/>
      <c r="U17" s="1084"/>
      <c r="V17" s="1084"/>
      <c r="W17" s="1085"/>
    </row>
    <row r="18" spans="1:23" s="160" customFormat="1" ht="30">
      <c r="A18" s="297" t="s">
        <v>1</v>
      </c>
      <c r="B18" s="298"/>
      <c r="C18" s="298" t="s">
        <v>160</v>
      </c>
      <c r="D18" s="154" t="s">
        <v>161</v>
      </c>
      <c r="E18" s="299"/>
      <c r="F18" s="299"/>
      <c r="G18" s="299"/>
      <c r="H18" s="299"/>
      <c r="I18" s="300"/>
      <c r="J18" s="300"/>
      <c r="K18" s="300"/>
      <c r="L18" s="300"/>
      <c r="M18" s="300"/>
      <c r="N18" s="449">
        <f>3000+2000</f>
        <v>5000</v>
      </c>
      <c r="O18" s="450">
        <v>5470</v>
      </c>
      <c r="P18" s="450">
        <v>5000</v>
      </c>
      <c r="Q18" s="449"/>
      <c r="R18" s="450"/>
      <c r="S18" s="450"/>
      <c r="T18" s="450"/>
      <c r="U18" s="450"/>
      <c r="V18" s="450"/>
      <c r="W18" s="453" t="s">
        <v>39</v>
      </c>
    </row>
    <row r="19" spans="1:23" s="114" customFormat="1" ht="22.5" customHeight="1">
      <c r="A19" s="1087" t="s">
        <v>162</v>
      </c>
      <c r="B19" s="1088"/>
      <c r="C19" s="1088"/>
      <c r="D19" s="1088"/>
      <c r="E19" s="287">
        <f>SUM(E18)</f>
        <v>0</v>
      </c>
      <c r="F19" s="287"/>
      <c r="G19" s="287"/>
      <c r="H19" s="287">
        <f>SUM(H18)</f>
        <v>0</v>
      </c>
      <c r="I19" s="290"/>
      <c r="J19" s="290"/>
      <c r="K19" s="290"/>
      <c r="L19" s="290"/>
      <c r="M19" s="290"/>
      <c r="N19" s="451">
        <f aca="true" t="shared" si="1" ref="N19:S19">SUM(N18)</f>
        <v>5000</v>
      </c>
      <c r="O19" s="452">
        <f t="shared" si="1"/>
        <v>5470</v>
      </c>
      <c r="P19" s="452">
        <f t="shared" si="1"/>
        <v>5000</v>
      </c>
      <c r="Q19" s="451">
        <f t="shared" si="1"/>
        <v>0</v>
      </c>
      <c r="R19" s="452">
        <f t="shared" si="1"/>
        <v>0</v>
      </c>
      <c r="S19" s="452">
        <f t="shared" si="1"/>
        <v>0</v>
      </c>
      <c r="T19" s="452"/>
      <c r="U19" s="452"/>
      <c r="V19" s="452"/>
      <c r="W19" s="296"/>
    </row>
    <row r="20" spans="1:23" ht="15">
      <c r="A20" s="1083" t="s">
        <v>163</v>
      </c>
      <c r="B20" s="1084"/>
      <c r="C20" s="1084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5"/>
    </row>
    <row r="21" spans="1:23" ht="15">
      <c r="A21" s="1089" t="s">
        <v>164</v>
      </c>
      <c r="B21" s="1090"/>
      <c r="C21" s="1090"/>
      <c r="D21" s="1090"/>
      <c r="E21" s="161">
        <v>0</v>
      </c>
      <c r="F21" s="161"/>
      <c r="G21" s="161"/>
      <c r="H21" s="161">
        <v>0</v>
      </c>
      <c r="I21" s="162"/>
      <c r="J21" s="162"/>
      <c r="K21" s="162"/>
      <c r="L21" s="162"/>
      <c r="M21" s="162"/>
      <c r="N21" s="149">
        <v>0</v>
      </c>
      <c r="O21" s="294"/>
      <c r="P21" s="294"/>
      <c r="Q21" s="149">
        <v>0</v>
      </c>
      <c r="R21" s="294"/>
      <c r="S21" s="294"/>
      <c r="T21" s="294"/>
      <c r="U21" s="294"/>
      <c r="V21" s="294"/>
      <c r="W21" s="146"/>
    </row>
    <row r="22" spans="5:22" ht="14.25" customHeight="1"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</row>
    <row r="23" spans="1:23" ht="24.75" customHeight="1" hidden="1">
      <c r="A23" s="1068" t="s">
        <v>141</v>
      </c>
      <c r="B23" s="1069"/>
      <c r="C23" s="1069"/>
      <c r="D23" s="1069"/>
      <c r="E23" s="164"/>
      <c r="F23" s="164"/>
      <c r="G23" s="164"/>
      <c r="H23" s="164"/>
      <c r="I23" s="165"/>
      <c r="J23" s="165"/>
      <c r="K23" s="165"/>
      <c r="L23" s="165"/>
      <c r="M23" s="165"/>
      <c r="N23" s="166"/>
      <c r="O23" s="133"/>
      <c r="P23" s="133"/>
      <c r="Q23" s="166"/>
      <c r="R23" s="133"/>
      <c r="S23" s="133"/>
      <c r="T23" s="133"/>
      <c r="U23" s="133"/>
      <c r="V23" s="133"/>
      <c r="W23" s="167"/>
    </row>
    <row r="24" spans="1:23" ht="24.75" customHeight="1" hidden="1">
      <c r="A24" s="1091" t="s">
        <v>142</v>
      </c>
      <c r="B24" s="1092"/>
      <c r="C24" s="1092"/>
      <c r="D24" s="1092"/>
      <c r="E24" s="150">
        <f>E16+E19</f>
        <v>5000</v>
      </c>
      <c r="F24" s="150"/>
      <c r="G24" s="150"/>
      <c r="H24" s="150">
        <f>H16+H19</f>
        <v>500</v>
      </c>
      <c r="I24" s="168"/>
      <c r="J24" s="168"/>
      <c r="K24" s="168"/>
      <c r="L24" s="168"/>
      <c r="M24" s="168"/>
      <c r="N24" s="151">
        <f>N16+N19</f>
        <v>5000</v>
      </c>
      <c r="O24" s="291"/>
      <c r="P24" s="291"/>
      <c r="Q24" s="151">
        <f>Q16+Q19</f>
        <v>0</v>
      </c>
      <c r="R24" s="291"/>
      <c r="S24" s="291"/>
      <c r="T24" s="291"/>
      <c r="U24" s="291"/>
      <c r="V24" s="291"/>
      <c r="W24" s="169">
        <v>0</v>
      </c>
    </row>
    <row r="25" spans="1:23" ht="24.75" customHeight="1" hidden="1">
      <c r="A25" s="1091" t="s">
        <v>143</v>
      </c>
      <c r="B25" s="1092"/>
      <c r="C25" s="1092"/>
      <c r="D25" s="1092"/>
      <c r="E25" s="152"/>
      <c r="F25" s="152"/>
      <c r="G25" s="152"/>
      <c r="H25" s="152"/>
      <c r="I25" s="170"/>
      <c r="J25" s="170"/>
      <c r="K25" s="170"/>
      <c r="L25" s="170"/>
      <c r="M25" s="170"/>
      <c r="N25" s="171"/>
      <c r="O25" s="133"/>
      <c r="P25" s="133"/>
      <c r="Q25" s="171"/>
      <c r="R25" s="133"/>
      <c r="S25" s="133"/>
      <c r="T25" s="133"/>
      <c r="U25" s="133"/>
      <c r="V25" s="133"/>
      <c r="W25" s="169">
        <v>0</v>
      </c>
    </row>
    <row r="26" spans="1:23" ht="24.75" customHeight="1" hidden="1">
      <c r="A26" s="1081" t="s">
        <v>27</v>
      </c>
      <c r="B26" s="1082"/>
      <c r="C26" s="1082"/>
      <c r="D26" s="1082"/>
      <c r="E26" s="172">
        <f>SUM(E23:E25)</f>
        <v>5000</v>
      </c>
      <c r="F26" s="172"/>
      <c r="G26" s="172"/>
      <c r="H26" s="172">
        <f>SUM(H23:H25)</f>
        <v>500</v>
      </c>
      <c r="I26" s="172"/>
      <c r="J26" s="172"/>
      <c r="K26" s="172"/>
      <c r="L26" s="172"/>
      <c r="M26" s="172"/>
      <c r="N26" s="172">
        <f>SUM(N23:N25)</f>
        <v>5000</v>
      </c>
      <c r="O26" s="295"/>
      <c r="P26" s="295"/>
      <c r="Q26" s="172">
        <f>SUM(Q23:Q25)</f>
        <v>0</v>
      </c>
      <c r="R26" s="295"/>
      <c r="S26" s="295"/>
      <c r="T26" s="295"/>
      <c r="U26" s="295"/>
      <c r="V26" s="295"/>
      <c r="W26" s="167">
        <f>SUM(W23:W25)</f>
        <v>0</v>
      </c>
    </row>
  </sheetData>
  <sheetProtection/>
  <mergeCells count="24">
    <mergeCell ref="A1:N1"/>
    <mergeCell ref="A2:W2"/>
    <mergeCell ref="A3:W3"/>
    <mergeCell ref="W5:W6"/>
    <mergeCell ref="E5:G5"/>
    <mergeCell ref="H5:J5"/>
    <mergeCell ref="A26:D26"/>
    <mergeCell ref="A7:W7"/>
    <mergeCell ref="A16:D16"/>
    <mergeCell ref="A17:W17"/>
    <mergeCell ref="A19:D19"/>
    <mergeCell ref="N5:P5"/>
    <mergeCell ref="A21:D21"/>
    <mergeCell ref="A24:D24"/>
    <mergeCell ref="A25:D25"/>
    <mergeCell ref="A20:W20"/>
    <mergeCell ref="A23:D23"/>
    <mergeCell ref="A5:A6"/>
    <mergeCell ref="K5:M5"/>
    <mergeCell ref="T5:V5"/>
    <mergeCell ref="D5:D6"/>
    <mergeCell ref="B5:B6"/>
    <mergeCell ref="C5:C6"/>
    <mergeCell ref="Q5:S5"/>
  </mergeCells>
  <printOptions horizontalCentered="1" verticalCentered="1"/>
  <pageMargins left="0.21" right="0.3" top="0.5511811023622047" bottom="0.5118110236220472" header="0.31496062992125984" footer="0.31496062992125984"/>
  <pageSetup horizontalDpi="600" verticalDpi="600" orientation="landscape" paperSize="9" scale="61" r:id="rId1"/>
  <headerFooter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J26"/>
  <sheetViews>
    <sheetView view="pageBreakPreview" zoomScale="60" zoomScaleNormal="75" zoomScalePageLayoutView="0" workbookViewId="0" topLeftCell="A1">
      <selection activeCell="A7" sqref="A5:H17"/>
    </sheetView>
  </sheetViews>
  <sheetFormatPr defaultColWidth="9.00390625" defaultRowHeight="12.75"/>
  <cols>
    <col min="1" max="1" width="5.125" style="173" customWidth="1"/>
    <col min="2" max="2" width="18.625" style="173" customWidth="1"/>
    <col min="3" max="3" width="103.875" style="174" customWidth="1"/>
    <col min="4" max="4" width="18.375" style="175" bestFit="1" customWidth="1"/>
    <col min="5" max="6" width="18.125" style="175" customWidth="1"/>
    <col min="7" max="7" width="13.375" style="173" customWidth="1"/>
    <col min="8" max="8" width="16.375" style="173" customWidth="1"/>
    <col min="9" max="9" width="12.875" style="173" customWidth="1"/>
    <col min="10" max="10" width="5.625" style="173" customWidth="1"/>
    <col min="11" max="11" width="15.00390625" style="173" customWidth="1"/>
    <col min="12" max="16384" width="9.125" style="173" customWidth="1"/>
  </cols>
  <sheetData>
    <row r="1" spans="1:8" ht="21" customHeight="1">
      <c r="A1" s="1115" t="s">
        <v>16</v>
      </c>
      <c r="B1" s="1115"/>
      <c r="C1" s="1115"/>
      <c r="D1" s="1115"/>
      <c r="E1" s="1115"/>
      <c r="F1" s="1115"/>
      <c r="G1" s="1115"/>
      <c r="H1" s="1115"/>
    </row>
    <row r="2" spans="1:8" ht="42" customHeight="1">
      <c r="A2" s="1115" t="s">
        <v>165</v>
      </c>
      <c r="B2" s="1115"/>
      <c r="C2" s="1115"/>
      <c r="D2" s="1115"/>
      <c r="E2" s="1115"/>
      <c r="F2" s="1115"/>
      <c r="G2" s="1115"/>
      <c r="H2" s="1115"/>
    </row>
    <row r="3" spans="1:8" ht="42" customHeight="1">
      <c r="A3" s="1115" t="s">
        <v>558</v>
      </c>
      <c r="B3" s="1115"/>
      <c r="C3" s="1115"/>
      <c r="D3" s="1115"/>
      <c r="E3" s="1115"/>
      <c r="F3" s="1115"/>
      <c r="G3" s="1115"/>
      <c r="H3" s="1115"/>
    </row>
    <row r="4" ht="15.75" customHeight="1"/>
    <row r="5" spans="1:8" ht="90" customHeight="1">
      <c r="A5" s="1116" t="s">
        <v>67</v>
      </c>
      <c r="B5" s="1117" t="s">
        <v>69</v>
      </c>
      <c r="C5" s="1118" t="s">
        <v>21</v>
      </c>
      <c r="D5" s="1119" t="s">
        <v>166</v>
      </c>
      <c r="E5" s="1120"/>
      <c r="F5" s="1120"/>
      <c r="G5" s="1121" t="s">
        <v>68</v>
      </c>
      <c r="H5" s="1124" t="s">
        <v>288</v>
      </c>
    </row>
    <row r="6" spans="1:8" ht="90" customHeight="1">
      <c r="A6" s="1116"/>
      <c r="B6" s="1117"/>
      <c r="C6" s="1118"/>
      <c r="D6" s="239" t="s">
        <v>322</v>
      </c>
      <c r="E6" s="239" t="s">
        <v>319</v>
      </c>
      <c r="F6" s="420" t="s">
        <v>497</v>
      </c>
      <c r="G6" s="1122"/>
      <c r="H6" s="1125"/>
    </row>
    <row r="7" spans="1:8" ht="32.25" customHeight="1">
      <c r="A7" s="1097" t="s">
        <v>45</v>
      </c>
      <c r="B7" s="1098"/>
      <c r="C7" s="1098"/>
      <c r="D7" s="1112" t="s">
        <v>167</v>
      </c>
      <c r="E7" s="1113"/>
      <c r="F7" s="1114"/>
      <c r="G7" s="1123"/>
      <c r="H7" s="1126"/>
    </row>
    <row r="8" spans="1:8" ht="35.25" customHeight="1">
      <c r="A8" s="1103" t="s">
        <v>168</v>
      </c>
      <c r="B8" s="1104"/>
      <c r="C8" s="177" t="s">
        <v>294</v>
      </c>
      <c r="D8" s="479">
        <f>SUM(D9:D10)</f>
        <v>10350</v>
      </c>
      <c r="E8" s="491">
        <f>SUM(E9:E10)</f>
        <v>4662</v>
      </c>
      <c r="F8" s="491">
        <f>SUM(F9:F10)</f>
        <v>2700</v>
      </c>
      <c r="G8" s="178"/>
      <c r="H8" s="179"/>
    </row>
    <row r="9" spans="1:8" ht="35.25" customHeight="1">
      <c r="A9" s="951" t="s">
        <v>1</v>
      </c>
      <c r="B9" s="181"/>
      <c r="C9" s="304" t="s">
        <v>169</v>
      </c>
      <c r="D9" s="486">
        <f>5000+2100+250</f>
        <v>7350</v>
      </c>
      <c r="E9" s="480">
        <v>3199</v>
      </c>
      <c r="F9" s="489"/>
      <c r="G9" s="182"/>
      <c r="H9" s="952" t="s">
        <v>39</v>
      </c>
    </row>
    <row r="10" spans="1:8" ht="35.25" customHeight="1">
      <c r="A10" s="953" t="s">
        <v>2</v>
      </c>
      <c r="B10" s="184"/>
      <c r="C10" s="305" t="s">
        <v>170</v>
      </c>
      <c r="D10" s="487">
        <v>3000</v>
      </c>
      <c r="E10" s="481">
        <v>1463</v>
      </c>
      <c r="F10" s="490">
        <v>2700</v>
      </c>
      <c r="G10" s="186"/>
      <c r="H10" s="216" t="s">
        <v>39</v>
      </c>
    </row>
    <row r="11" spans="1:8" s="175" customFormat="1" ht="35.25" customHeight="1">
      <c r="A11" s="1103" t="s">
        <v>171</v>
      </c>
      <c r="B11" s="1104"/>
      <c r="C11" s="306" t="s">
        <v>270</v>
      </c>
      <c r="D11" s="488">
        <f>SUM(D12:D16)</f>
        <v>51750</v>
      </c>
      <c r="E11" s="482">
        <f>SUM(E12:E16)</f>
        <v>59283</v>
      </c>
      <c r="F11" s="482">
        <f>SUM(F12:F16)</f>
        <v>55344</v>
      </c>
      <c r="G11" s="187"/>
      <c r="H11" s="188"/>
    </row>
    <row r="12" spans="1:8" ht="35.25" customHeight="1">
      <c r="A12" s="954" t="s">
        <v>1</v>
      </c>
      <c r="B12" s="190"/>
      <c r="C12" s="307" t="s">
        <v>169</v>
      </c>
      <c r="D12" s="492">
        <f>30000+8000+100+100+21+5000+2179-12500-6900</f>
        <v>26000</v>
      </c>
      <c r="E12" s="480">
        <f>+D12+2683+19336</f>
        <v>48019</v>
      </c>
      <c r="F12" s="480">
        <v>45336</v>
      </c>
      <c r="G12" s="192"/>
      <c r="H12" s="952" t="s">
        <v>39</v>
      </c>
    </row>
    <row r="13" spans="1:9" ht="35.25" customHeight="1">
      <c r="A13" s="955" t="s">
        <v>2</v>
      </c>
      <c r="B13" s="194"/>
      <c r="C13" s="308" t="s">
        <v>172</v>
      </c>
      <c r="D13" s="493">
        <v>6000</v>
      </c>
      <c r="E13" s="483">
        <f>SUM(D13:D13)</f>
        <v>6000</v>
      </c>
      <c r="F13" s="483">
        <v>4744</v>
      </c>
      <c r="G13" s="303"/>
      <c r="H13" s="956" t="s">
        <v>39</v>
      </c>
      <c r="I13" s="173">
        <f>1199+2683</f>
        <v>3882</v>
      </c>
    </row>
    <row r="14" spans="1:8" ht="35.25" customHeight="1">
      <c r="A14" s="955" t="s">
        <v>3</v>
      </c>
      <c r="B14" s="194"/>
      <c r="C14" s="308" t="s">
        <v>452</v>
      </c>
      <c r="D14" s="493">
        <v>10000</v>
      </c>
      <c r="E14" s="483">
        <v>5264</v>
      </c>
      <c r="F14" s="483">
        <v>5264</v>
      </c>
      <c r="G14" s="303"/>
      <c r="H14" s="216" t="s">
        <v>39</v>
      </c>
    </row>
    <row r="15" spans="1:8" ht="35.25" customHeight="1">
      <c r="A15" s="951" t="s">
        <v>4</v>
      </c>
      <c r="B15" s="181"/>
      <c r="C15" s="304" t="s">
        <v>169</v>
      </c>
      <c r="D15" s="493">
        <f>5000+150+100</f>
        <v>5250</v>
      </c>
      <c r="E15" s="483">
        <v>0</v>
      </c>
      <c r="F15" s="484"/>
      <c r="G15" s="182"/>
      <c r="H15" s="952" t="s">
        <v>39</v>
      </c>
    </row>
    <row r="16" spans="1:8" ht="35.25" customHeight="1">
      <c r="A16" s="957" t="s">
        <v>5</v>
      </c>
      <c r="B16" s="198"/>
      <c r="C16" s="309" t="s">
        <v>172</v>
      </c>
      <c r="D16" s="494">
        <v>4500</v>
      </c>
      <c r="E16" s="485">
        <v>0</v>
      </c>
      <c r="F16" s="485"/>
      <c r="G16" s="199"/>
      <c r="H16" s="216" t="s">
        <v>39</v>
      </c>
    </row>
    <row r="17" spans="1:8" ht="45.75" customHeight="1">
      <c r="A17" s="1105" t="s">
        <v>173</v>
      </c>
      <c r="B17" s="1106"/>
      <c r="C17" s="1107"/>
      <c r="D17" s="200">
        <f>+D8+D11</f>
        <v>62100</v>
      </c>
      <c r="E17" s="200">
        <f>+E8+E11</f>
        <v>63945</v>
      </c>
      <c r="F17" s="200">
        <f>+F8+F11</f>
        <v>58044</v>
      </c>
      <c r="G17" s="201"/>
      <c r="H17" s="958"/>
    </row>
    <row r="18" spans="3:6" s="257" customFormat="1" ht="21">
      <c r="C18" s="947"/>
      <c r="D18" s="202"/>
      <c r="E18" s="202"/>
      <c r="F18" s="202"/>
    </row>
    <row r="19" spans="1:10" s="115" customFormat="1" ht="2.25" customHeight="1">
      <c r="A19" s="1108" t="s">
        <v>141</v>
      </c>
      <c r="B19" s="1109"/>
      <c r="C19" s="1109"/>
      <c r="D19" s="403"/>
      <c r="E19" s="206"/>
      <c r="F19" s="206"/>
      <c r="G19" s="204"/>
      <c r="H19" s="205"/>
      <c r="I19" s="206"/>
      <c r="J19" s="206"/>
    </row>
    <row r="20" spans="1:10" s="115" customFormat="1" ht="37.5" customHeight="1" hidden="1">
      <c r="A20" s="1110" t="s">
        <v>142</v>
      </c>
      <c r="B20" s="1111"/>
      <c r="C20" s="1111"/>
      <c r="D20" s="207">
        <f>+D9+D10+D12+D13+D14+D15+D16</f>
        <v>62100</v>
      </c>
      <c r="E20" s="301"/>
      <c r="F20" s="301"/>
      <c r="G20" s="204"/>
      <c r="H20" s="208"/>
      <c r="I20" s="206"/>
      <c r="J20" s="206"/>
    </row>
    <row r="21" spans="1:10" s="115" customFormat="1" ht="37.5" customHeight="1" hidden="1">
      <c r="A21" s="1099" t="s">
        <v>143</v>
      </c>
      <c r="B21" s="1100"/>
      <c r="C21" s="1100"/>
      <c r="D21" s="209"/>
      <c r="E21" s="206"/>
      <c r="F21" s="206"/>
      <c r="G21" s="204"/>
      <c r="H21" s="208"/>
      <c r="I21" s="206"/>
      <c r="J21" s="206"/>
    </row>
    <row r="22" spans="1:10" s="115" customFormat="1" ht="37.5" customHeight="1" hidden="1">
      <c r="A22" s="1101" t="s">
        <v>27</v>
      </c>
      <c r="B22" s="1102"/>
      <c r="C22" s="1102"/>
      <c r="D22" s="210">
        <f>SUM(D19:D21)</f>
        <v>62100</v>
      </c>
      <c r="E22" s="302"/>
      <c r="F22" s="302"/>
      <c r="G22" s="204"/>
      <c r="H22" s="205"/>
      <c r="I22" s="206"/>
      <c r="J22" s="206"/>
    </row>
    <row r="23" spans="3:6" ht="21">
      <c r="C23" s="211"/>
      <c r="E23" s="415">
        <f>+E17-D17</f>
        <v>1845</v>
      </c>
      <c r="F23" s="415"/>
    </row>
    <row r="24" ht="21">
      <c r="C24" s="211"/>
    </row>
    <row r="25" ht="21">
      <c r="C25" s="211"/>
    </row>
    <row r="26" ht="21">
      <c r="C26" s="212"/>
    </row>
  </sheetData>
  <sheetProtection/>
  <mergeCells count="18">
    <mergeCell ref="D7:F7"/>
    <mergeCell ref="A1:H1"/>
    <mergeCell ref="A2:H2"/>
    <mergeCell ref="A3:H3"/>
    <mergeCell ref="A5:A6"/>
    <mergeCell ref="B5:B6"/>
    <mergeCell ref="C5:C6"/>
    <mergeCell ref="D5:F5"/>
    <mergeCell ref="G5:G7"/>
    <mergeCell ref="H5:H7"/>
    <mergeCell ref="A7:C7"/>
    <mergeCell ref="A21:C21"/>
    <mergeCell ref="A22:C22"/>
    <mergeCell ref="A8:B8"/>
    <mergeCell ref="A11:B11"/>
    <mergeCell ref="A17:C17"/>
    <mergeCell ref="A19:C19"/>
    <mergeCell ref="A20:C2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174"/>
  <sheetViews>
    <sheetView view="pageBreakPreview" zoomScale="60" zoomScaleNormal="75" zoomScalePageLayoutView="0" workbookViewId="0" topLeftCell="A159">
      <selection activeCell="H11" sqref="H11"/>
    </sheetView>
  </sheetViews>
  <sheetFormatPr defaultColWidth="9.00390625" defaultRowHeight="12.75"/>
  <cols>
    <col min="1" max="1" width="5.125" style="173" customWidth="1"/>
    <col min="2" max="2" width="18.375" style="173" customWidth="1"/>
    <col min="3" max="3" width="103.875" style="174" customWidth="1"/>
    <col min="4" max="9" width="17.875" style="175" customWidth="1"/>
    <col min="10" max="10" width="13.375" style="173" customWidth="1"/>
    <col min="11" max="11" width="16.375" style="173" customWidth="1"/>
    <col min="12" max="12" width="12.875" style="173" customWidth="1"/>
    <col min="13" max="13" width="5.625" style="173" customWidth="1"/>
    <col min="14" max="14" width="15.00390625" style="173" customWidth="1"/>
    <col min="15" max="16384" width="9.125" style="173" customWidth="1"/>
  </cols>
  <sheetData>
    <row r="1" spans="1:11" ht="21" customHeight="1">
      <c r="A1" s="1115" t="s">
        <v>16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5"/>
    </row>
    <row r="2" spans="1:11" ht="42" customHeight="1">
      <c r="A2" s="1115" t="s">
        <v>174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</row>
    <row r="3" spans="1:11" ht="42" customHeight="1">
      <c r="A3" s="1115" t="s">
        <v>558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</row>
    <row r="4" spans="10:11" ht="19.5" customHeight="1">
      <c r="J4" s="1186" t="s">
        <v>283</v>
      </c>
      <c r="K4" s="1187"/>
    </row>
    <row r="5" spans="1:11" ht="93.75" customHeight="1">
      <c r="A5" s="1188" t="s">
        <v>67</v>
      </c>
      <c r="B5" s="1190" t="s">
        <v>69</v>
      </c>
      <c r="C5" s="1172" t="s">
        <v>21</v>
      </c>
      <c r="D5" s="1132" t="s">
        <v>175</v>
      </c>
      <c r="E5" s="1132"/>
      <c r="F5" s="1132"/>
      <c r="G5" s="1132" t="s">
        <v>166</v>
      </c>
      <c r="H5" s="1132"/>
      <c r="I5" s="1184"/>
      <c r="J5" s="1193" t="s">
        <v>68</v>
      </c>
      <c r="K5" s="1192" t="s">
        <v>22</v>
      </c>
    </row>
    <row r="6" spans="1:11" ht="93.75" customHeight="1">
      <c r="A6" s="1189"/>
      <c r="B6" s="1191"/>
      <c r="C6" s="1196"/>
      <c r="D6" s="239" t="s">
        <v>322</v>
      </c>
      <c r="E6" s="239" t="s">
        <v>319</v>
      </c>
      <c r="F6" s="239" t="s">
        <v>497</v>
      </c>
      <c r="G6" s="239" t="s">
        <v>322</v>
      </c>
      <c r="H6" s="239" t="s">
        <v>319</v>
      </c>
      <c r="I6" s="420" t="s">
        <v>497</v>
      </c>
      <c r="J6" s="1193"/>
      <c r="K6" s="1122"/>
    </row>
    <row r="7" spans="1:11" ht="30" customHeight="1">
      <c r="A7" s="1180" t="s">
        <v>45</v>
      </c>
      <c r="B7" s="1181"/>
      <c r="C7" s="1181"/>
      <c r="D7" s="1133" t="s">
        <v>176</v>
      </c>
      <c r="E7" s="1134"/>
      <c r="F7" s="1185"/>
      <c r="G7" s="1133" t="s">
        <v>167</v>
      </c>
      <c r="H7" s="1134"/>
      <c r="I7" s="1134"/>
      <c r="J7" s="1193"/>
      <c r="K7" s="1123"/>
    </row>
    <row r="8" spans="1:12" s="175" customFormat="1" ht="35.25" customHeight="1">
      <c r="A8" s="1194" t="s">
        <v>272</v>
      </c>
      <c r="B8" s="1195"/>
      <c r="C8" s="177" t="s">
        <v>177</v>
      </c>
      <c r="D8" s="431"/>
      <c r="E8" s="431"/>
      <c r="F8" s="431"/>
      <c r="G8" s="432">
        <f>SUM(G9:G12)</f>
        <v>25156</v>
      </c>
      <c r="H8" s="432">
        <f>SUM(H9:H16)</f>
        <v>26205</v>
      </c>
      <c r="I8" s="432">
        <f>SUM(I9:I16)</f>
        <v>26137</v>
      </c>
      <c r="J8" s="443"/>
      <c r="K8" s="213"/>
      <c r="L8" s="415"/>
    </row>
    <row r="9" spans="1:11" ht="35.25" customHeight="1">
      <c r="A9" s="180" t="s">
        <v>1</v>
      </c>
      <c r="B9" s="194"/>
      <c r="C9" s="195" t="s">
        <v>178</v>
      </c>
      <c r="D9" s="408"/>
      <c r="E9" s="408"/>
      <c r="F9" s="408"/>
      <c r="G9" s="191">
        <f>18000+3000</f>
        <v>21000</v>
      </c>
      <c r="H9" s="191">
        <f>SUM(G9:G9)</f>
        <v>21000</v>
      </c>
      <c r="I9" s="310">
        <v>21000</v>
      </c>
      <c r="J9" s="396"/>
      <c r="K9" s="427" t="s">
        <v>179</v>
      </c>
    </row>
    <row r="10" spans="1:11" ht="35.25" customHeight="1">
      <c r="A10" s="180" t="s">
        <v>2</v>
      </c>
      <c r="B10" s="194"/>
      <c r="C10" s="195" t="s">
        <v>180</v>
      </c>
      <c r="D10" s="214"/>
      <c r="E10" s="214"/>
      <c r="F10" s="214"/>
      <c r="G10" s="196">
        <v>78</v>
      </c>
      <c r="H10" s="196">
        <v>77</v>
      </c>
      <c r="I10" s="311">
        <v>9</v>
      </c>
      <c r="J10" s="396"/>
      <c r="K10" s="428" t="s">
        <v>179</v>
      </c>
    </row>
    <row r="11" spans="1:11" ht="35.25" customHeight="1">
      <c r="A11" s="180" t="s">
        <v>3</v>
      </c>
      <c r="B11" s="194"/>
      <c r="C11" s="195" t="s">
        <v>181</v>
      </c>
      <c r="D11" s="214"/>
      <c r="E11" s="214"/>
      <c r="F11" s="214"/>
      <c r="G11" s="196">
        <v>250</v>
      </c>
      <c r="H11" s="196">
        <v>650</v>
      </c>
      <c r="I11" s="311">
        <v>650</v>
      </c>
      <c r="J11" s="396"/>
      <c r="K11" s="429" t="s">
        <v>179</v>
      </c>
    </row>
    <row r="12" spans="1:11" ht="42" customHeight="1">
      <c r="A12" s="180" t="s">
        <v>4</v>
      </c>
      <c r="B12" s="194"/>
      <c r="C12" s="215" t="s">
        <v>182</v>
      </c>
      <c r="D12" s="214"/>
      <c r="E12" s="214"/>
      <c r="F12" s="214"/>
      <c r="G12" s="196">
        <f>(14052-6396)/2</f>
        <v>3828</v>
      </c>
      <c r="H12" s="196">
        <f>SUM(G12:G12)</f>
        <v>3828</v>
      </c>
      <c r="I12" s="311">
        <v>3828</v>
      </c>
      <c r="J12" s="396"/>
      <c r="K12" s="424" t="s">
        <v>179</v>
      </c>
    </row>
    <row r="13" spans="1:11" ht="42" customHeight="1">
      <c r="A13" s="180" t="s">
        <v>5</v>
      </c>
      <c r="B13" s="198"/>
      <c r="C13" s="414" t="s">
        <v>460</v>
      </c>
      <c r="D13" s="214"/>
      <c r="E13" s="214"/>
      <c r="F13" s="214"/>
      <c r="G13" s="196"/>
      <c r="H13" s="196">
        <v>200</v>
      </c>
      <c r="I13" s="311">
        <v>200</v>
      </c>
      <c r="J13" s="396"/>
      <c r="K13" s="424" t="s">
        <v>179</v>
      </c>
    </row>
    <row r="14" spans="1:12" ht="42" customHeight="1">
      <c r="A14" s="180" t="s">
        <v>6</v>
      </c>
      <c r="B14" s="198"/>
      <c r="C14" s="414" t="s">
        <v>461</v>
      </c>
      <c r="D14" s="214"/>
      <c r="E14" s="214"/>
      <c r="F14" s="214"/>
      <c r="G14" s="196"/>
      <c r="H14" s="196">
        <v>200</v>
      </c>
      <c r="I14" s="311">
        <v>200</v>
      </c>
      <c r="J14" s="396"/>
      <c r="K14" s="424" t="s">
        <v>179</v>
      </c>
      <c r="L14" s="238"/>
    </row>
    <row r="15" spans="1:12" ht="42" customHeight="1">
      <c r="A15" s="180" t="s">
        <v>7</v>
      </c>
      <c r="B15" s="198"/>
      <c r="C15" s="414" t="s">
        <v>546</v>
      </c>
      <c r="D15" s="501"/>
      <c r="E15" s="501"/>
      <c r="F15" s="501"/>
      <c r="G15" s="502"/>
      <c r="H15" s="502">
        <v>150</v>
      </c>
      <c r="I15" s="503">
        <v>150</v>
      </c>
      <c r="J15" s="396"/>
      <c r="K15" s="424" t="s">
        <v>179</v>
      </c>
      <c r="L15" s="238"/>
    </row>
    <row r="16" spans="1:11" ht="42" customHeight="1">
      <c r="A16" s="197" t="s">
        <v>8</v>
      </c>
      <c r="B16" s="198"/>
      <c r="C16" s="414" t="s">
        <v>462</v>
      </c>
      <c r="D16" s="410"/>
      <c r="E16" s="410"/>
      <c r="F16" s="410"/>
      <c r="G16" s="185"/>
      <c r="H16" s="185">
        <v>100</v>
      </c>
      <c r="I16" s="312">
        <v>100</v>
      </c>
      <c r="J16" s="396"/>
      <c r="K16" s="430" t="s">
        <v>179</v>
      </c>
    </row>
    <row r="17" spans="1:11" s="175" customFormat="1" ht="35.25" customHeight="1">
      <c r="A17" s="1128" t="s">
        <v>183</v>
      </c>
      <c r="B17" s="1104"/>
      <c r="C17" s="177" t="s">
        <v>271</v>
      </c>
      <c r="D17" s="433"/>
      <c r="E17" s="433"/>
      <c r="F17" s="433"/>
      <c r="G17" s="319">
        <f>SUM(G18)</f>
        <v>3440</v>
      </c>
      <c r="H17" s="434">
        <f>SUM(H18)</f>
        <v>3440</v>
      </c>
      <c r="I17" s="434">
        <f>SUM(I18)</f>
        <v>3440</v>
      </c>
      <c r="J17" s="411"/>
      <c r="K17" s="412"/>
    </row>
    <row r="18" spans="1:11" ht="42" customHeight="1">
      <c r="A18" s="218" t="s">
        <v>1</v>
      </c>
      <c r="B18" s="219"/>
      <c r="C18" s="220" t="s">
        <v>184</v>
      </c>
      <c r="D18" s="221"/>
      <c r="E18" s="221"/>
      <c r="F18" s="221"/>
      <c r="G18" s="222">
        <v>3440</v>
      </c>
      <c r="H18" s="222">
        <f>SUM(G18:G18)</f>
        <v>3440</v>
      </c>
      <c r="I18" s="435">
        <v>3440</v>
      </c>
      <c r="J18" s="223"/>
      <c r="K18" s="216" t="s">
        <v>179</v>
      </c>
    </row>
    <row r="19" spans="1:11" s="175" customFormat="1" ht="43.5" customHeight="1">
      <c r="A19" s="1128" t="s">
        <v>135</v>
      </c>
      <c r="B19" s="1104"/>
      <c r="C19" s="176" t="s">
        <v>273</v>
      </c>
      <c r="D19" s="319">
        <f>SUM(D20:D20)</f>
        <v>70</v>
      </c>
      <c r="E19" s="319">
        <f>SUM(E20:E20)</f>
        <v>70</v>
      </c>
      <c r="F19" s="319">
        <f>SUM(F20:F20)</f>
        <v>70</v>
      </c>
      <c r="G19" s="319">
        <f>SUM(G20:G20)</f>
        <v>0</v>
      </c>
      <c r="H19" s="434"/>
      <c r="I19" s="436"/>
      <c r="J19" s="187"/>
      <c r="K19" s="213"/>
    </row>
    <row r="20" spans="1:11" ht="39.75" customHeight="1">
      <c r="A20" s="224" t="s">
        <v>1</v>
      </c>
      <c r="B20" s="225"/>
      <c r="C20" s="195" t="s">
        <v>185</v>
      </c>
      <c r="D20" s="222">
        <v>70</v>
      </c>
      <c r="E20" s="222">
        <f>SUM(D20:D20)</f>
        <v>70</v>
      </c>
      <c r="F20" s="222">
        <v>70</v>
      </c>
      <c r="G20" s="176"/>
      <c r="H20" s="437"/>
      <c r="I20" s="438"/>
      <c r="J20" s="317"/>
      <c r="K20" s="216" t="s">
        <v>179</v>
      </c>
    </row>
    <row r="21" spans="1:11" s="175" customFormat="1" ht="40.5" customHeight="1">
      <c r="A21" s="1128" t="s">
        <v>186</v>
      </c>
      <c r="B21" s="1104"/>
      <c r="C21" s="177" t="s">
        <v>187</v>
      </c>
      <c r="D21" s="217">
        <f>SUM(D22)</f>
        <v>0</v>
      </c>
      <c r="E21" s="217"/>
      <c r="F21" s="217"/>
      <c r="G21" s="217">
        <f>SUM(G22)</f>
        <v>30000</v>
      </c>
      <c r="H21" s="320">
        <f>SUM(H22)</f>
        <v>30000</v>
      </c>
      <c r="I21" s="320">
        <f>SUM(I22)</f>
        <v>27995</v>
      </c>
      <c r="J21" s="324"/>
      <c r="K21" s="213"/>
    </row>
    <row r="22" spans="1:11" ht="33.75" customHeight="1">
      <c r="A22" s="226" t="s">
        <v>1</v>
      </c>
      <c r="B22" s="227"/>
      <c r="C22" s="228" t="s">
        <v>188</v>
      </c>
      <c r="D22" s="221"/>
      <c r="E22" s="221"/>
      <c r="F22" s="221"/>
      <c r="G22" s="222">
        <v>30000</v>
      </c>
      <c r="H22" s="322">
        <f>SUM(G22:G22)</f>
        <v>30000</v>
      </c>
      <c r="I22" s="439">
        <v>27995</v>
      </c>
      <c r="J22" s="324"/>
      <c r="K22" s="216" t="s">
        <v>179</v>
      </c>
    </row>
    <row r="23" spans="1:11" ht="47.25" customHeight="1">
      <c r="A23" s="1128" t="s">
        <v>275</v>
      </c>
      <c r="B23" s="1104"/>
      <c r="C23" s="177" t="s">
        <v>276</v>
      </c>
      <c r="D23" s="221"/>
      <c r="E23" s="221">
        <f>+E24</f>
        <v>2895</v>
      </c>
      <c r="F23" s="221">
        <f>+F24</f>
        <v>2855</v>
      </c>
      <c r="G23" s="217">
        <f>SUM(G24)</f>
        <v>3000</v>
      </c>
      <c r="H23" s="320">
        <f>SUM(H24)</f>
        <v>0</v>
      </c>
      <c r="I23" s="320">
        <f>SUM(I24)</f>
        <v>0</v>
      </c>
      <c r="J23" s="325"/>
      <c r="K23" s="229"/>
    </row>
    <row r="24" spans="1:11" s="232" customFormat="1" ht="39.75" customHeight="1">
      <c r="A24" s="224" t="s">
        <v>1</v>
      </c>
      <c r="B24" s="230"/>
      <c r="C24" s="195" t="s">
        <v>189</v>
      </c>
      <c r="D24" s="318"/>
      <c r="E24" s="318">
        <v>2895</v>
      </c>
      <c r="F24" s="318">
        <v>2855</v>
      </c>
      <c r="G24" s="222">
        <v>3000</v>
      </c>
      <c r="H24" s="322"/>
      <c r="I24" s="439"/>
      <c r="J24" s="324"/>
      <c r="K24" s="231" t="s">
        <v>179</v>
      </c>
    </row>
    <row r="25" spans="1:11" ht="47.25" customHeight="1">
      <c r="A25" s="1128" t="s">
        <v>190</v>
      </c>
      <c r="B25" s="1104"/>
      <c r="C25" s="177" t="s">
        <v>274</v>
      </c>
      <c r="D25" s="221"/>
      <c r="E25" s="221"/>
      <c r="F25" s="221"/>
      <c r="G25" s="217">
        <f>SUM(G26)</f>
        <v>400</v>
      </c>
      <c r="H25" s="320">
        <f>SUM(H26)</f>
        <v>400</v>
      </c>
      <c r="I25" s="320">
        <f>SUM(I26)</f>
        <v>400</v>
      </c>
      <c r="J25" s="321"/>
      <c r="K25" s="229"/>
    </row>
    <row r="26" spans="1:11" ht="35.25" customHeight="1">
      <c r="A26" s="233" t="s">
        <v>1</v>
      </c>
      <c r="B26" s="234"/>
      <c r="C26" s="235" t="s">
        <v>191</v>
      </c>
      <c r="D26" s="221"/>
      <c r="E26" s="221"/>
      <c r="F26" s="221"/>
      <c r="G26" s="222">
        <v>400</v>
      </c>
      <c r="H26" s="322">
        <f>SUM(G26:G26)</f>
        <v>400</v>
      </c>
      <c r="I26" s="439">
        <v>400</v>
      </c>
      <c r="J26" s="326"/>
      <c r="K26" s="229"/>
    </row>
    <row r="27" spans="1:11" ht="47.25" customHeight="1">
      <c r="A27" s="1128" t="s">
        <v>392</v>
      </c>
      <c r="B27" s="1104"/>
      <c r="C27" s="177" t="s">
        <v>455</v>
      </c>
      <c r="D27" s="221"/>
      <c r="E27" s="221"/>
      <c r="F27" s="221"/>
      <c r="G27" s="217">
        <f>SUM(G28)</f>
        <v>0</v>
      </c>
      <c r="H27" s="320">
        <f>SUM(H28:H43)</f>
        <v>3308</v>
      </c>
      <c r="I27" s="320">
        <f>SUM(I28:I43)</f>
        <v>3308</v>
      </c>
      <c r="J27" s="413"/>
      <c r="K27" s="229"/>
    </row>
    <row r="28" spans="1:11" ht="35.25" customHeight="1">
      <c r="A28" s="189" t="s">
        <v>1</v>
      </c>
      <c r="B28" s="190"/>
      <c r="C28" s="407" t="s">
        <v>560</v>
      </c>
      <c r="D28" s="408"/>
      <c r="E28" s="408"/>
      <c r="F28" s="408"/>
      <c r="G28" s="191"/>
      <c r="H28" s="191">
        <v>380</v>
      </c>
      <c r="I28" s="310">
        <f>180+200</f>
        <v>380</v>
      </c>
      <c r="J28" s="229"/>
      <c r="K28" s="423" t="s">
        <v>179</v>
      </c>
    </row>
    <row r="29" spans="1:11" ht="42" customHeight="1">
      <c r="A29" s="193" t="s">
        <v>2</v>
      </c>
      <c r="B29" s="194"/>
      <c r="C29" s="215" t="s">
        <v>459</v>
      </c>
      <c r="D29" s="214"/>
      <c r="E29" s="214"/>
      <c r="F29" s="214"/>
      <c r="G29" s="196"/>
      <c r="H29" s="196">
        <v>330</v>
      </c>
      <c r="I29" s="311">
        <v>330</v>
      </c>
      <c r="J29" s="396"/>
      <c r="K29" s="424" t="s">
        <v>179</v>
      </c>
    </row>
    <row r="30" spans="1:11" ht="42" customHeight="1">
      <c r="A30" s="193" t="s">
        <v>3</v>
      </c>
      <c r="B30" s="194"/>
      <c r="C30" s="215" t="s">
        <v>472</v>
      </c>
      <c r="D30" s="214"/>
      <c r="E30" s="214"/>
      <c r="F30" s="214"/>
      <c r="G30" s="196"/>
      <c r="H30" s="196">
        <v>70</v>
      </c>
      <c r="I30" s="311">
        <v>70</v>
      </c>
      <c r="J30" s="396"/>
      <c r="K30" s="424" t="s">
        <v>179</v>
      </c>
    </row>
    <row r="31" spans="1:11" ht="42" customHeight="1">
      <c r="A31" s="193" t="s">
        <v>4</v>
      </c>
      <c r="B31" s="194"/>
      <c r="C31" s="215" t="s">
        <v>473</v>
      </c>
      <c r="D31" s="214"/>
      <c r="E31" s="214"/>
      <c r="F31" s="214"/>
      <c r="G31" s="196"/>
      <c r="H31" s="196">
        <v>200</v>
      </c>
      <c r="I31" s="311">
        <v>200</v>
      </c>
      <c r="J31" s="396"/>
      <c r="K31" s="424" t="s">
        <v>179</v>
      </c>
    </row>
    <row r="32" spans="1:11" ht="42" customHeight="1">
      <c r="A32" s="193" t="s">
        <v>5</v>
      </c>
      <c r="B32" s="194"/>
      <c r="C32" s="215" t="s">
        <v>474</v>
      </c>
      <c r="D32" s="214"/>
      <c r="E32" s="214"/>
      <c r="F32" s="214"/>
      <c r="G32" s="196"/>
      <c r="H32" s="196">
        <v>500</v>
      </c>
      <c r="I32" s="311">
        <v>500</v>
      </c>
      <c r="J32" s="396"/>
      <c r="K32" s="424" t="s">
        <v>179</v>
      </c>
    </row>
    <row r="33" spans="1:11" ht="42" customHeight="1">
      <c r="A33" s="193" t="s">
        <v>6</v>
      </c>
      <c r="B33" s="194"/>
      <c r="C33" s="215" t="s">
        <v>457</v>
      </c>
      <c r="D33" s="214"/>
      <c r="E33" s="214"/>
      <c r="F33" s="214"/>
      <c r="G33" s="196"/>
      <c r="H33" s="196">
        <v>100</v>
      </c>
      <c r="I33" s="311">
        <v>100</v>
      </c>
      <c r="J33" s="396"/>
      <c r="K33" s="425" t="s">
        <v>179</v>
      </c>
    </row>
    <row r="34" spans="1:11" ht="42" customHeight="1">
      <c r="A34" s="193" t="s">
        <v>7</v>
      </c>
      <c r="B34" s="194"/>
      <c r="C34" s="215" t="s">
        <v>502</v>
      </c>
      <c r="D34" s="214"/>
      <c r="E34" s="214"/>
      <c r="F34" s="214"/>
      <c r="G34" s="196"/>
      <c r="H34" s="196">
        <v>100</v>
      </c>
      <c r="I34" s="311">
        <v>100</v>
      </c>
      <c r="J34" s="396"/>
      <c r="K34" s="424" t="s">
        <v>179</v>
      </c>
    </row>
    <row r="35" spans="1:11" ht="35.25" customHeight="1">
      <c r="A35" s="193" t="s">
        <v>8</v>
      </c>
      <c r="B35" s="194"/>
      <c r="C35" s="195" t="s">
        <v>458</v>
      </c>
      <c r="D35" s="214"/>
      <c r="E35" s="214"/>
      <c r="F35" s="214"/>
      <c r="G35" s="196"/>
      <c r="H35" s="196">
        <v>50</v>
      </c>
      <c r="I35" s="311">
        <v>50</v>
      </c>
      <c r="J35" s="229"/>
      <c r="K35" s="425" t="s">
        <v>179</v>
      </c>
    </row>
    <row r="36" spans="1:11" ht="35.25" customHeight="1">
      <c r="A36" s="193" t="s">
        <v>9</v>
      </c>
      <c r="B36" s="194"/>
      <c r="C36" s="195" t="s">
        <v>503</v>
      </c>
      <c r="D36" s="214"/>
      <c r="E36" s="214"/>
      <c r="F36" s="214"/>
      <c r="G36" s="196"/>
      <c r="H36" s="196">
        <v>350</v>
      </c>
      <c r="I36" s="311">
        <v>350</v>
      </c>
      <c r="J36" s="229"/>
      <c r="K36" s="424" t="s">
        <v>179</v>
      </c>
    </row>
    <row r="37" spans="1:11" ht="35.25" customHeight="1">
      <c r="A37" s="197" t="s">
        <v>10</v>
      </c>
      <c r="B37" s="198"/>
      <c r="C37" s="500" t="s">
        <v>456</v>
      </c>
      <c r="D37" s="501"/>
      <c r="E37" s="501"/>
      <c r="F37" s="501"/>
      <c r="G37" s="502"/>
      <c r="H37" s="502">
        <v>213</v>
      </c>
      <c r="I37" s="503">
        <v>213</v>
      </c>
      <c r="J37" s="229"/>
      <c r="K37" s="425" t="s">
        <v>179</v>
      </c>
    </row>
    <row r="38" spans="1:11" ht="42" customHeight="1">
      <c r="A38" s="193" t="s">
        <v>11</v>
      </c>
      <c r="B38" s="194"/>
      <c r="C38" s="215" t="s">
        <v>446</v>
      </c>
      <c r="D38" s="214"/>
      <c r="E38" s="214"/>
      <c r="F38" s="214"/>
      <c r="G38" s="196"/>
      <c r="H38" s="196">
        <v>300</v>
      </c>
      <c r="I38" s="311">
        <v>300</v>
      </c>
      <c r="J38" s="396"/>
      <c r="K38" s="424" t="s">
        <v>179</v>
      </c>
    </row>
    <row r="39" spans="1:11" ht="35.25" customHeight="1">
      <c r="A39" s="193" t="s">
        <v>57</v>
      </c>
      <c r="B39" s="194"/>
      <c r="C39" s="195" t="s">
        <v>436</v>
      </c>
      <c r="D39" s="214"/>
      <c r="E39" s="214"/>
      <c r="F39" s="214"/>
      <c r="G39" s="196"/>
      <c r="H39" s="196">
        <v>100</v>
      </c>
      <c r="I39" s="311">
        <v>100</v>
      </c>
      <c r="J39" s="229"/>
      <c r="K39" s="425" t="s">
        <v>179</v>
      </c>
    </row>
    <row r="40" spans="1:11" ht="42" customHeight="1">
      <c r="A40" s="193" t="s">
        <v>58</v>
      </c>
      <c r="B40" s="194"/>
      <c r="C40" s="215" t="s">
        <v>395</v>
      </c>
      <c r="D40" s="214"/>
      <c r="E40" s="214"/>
      <c r="F40" s="214"/>
      <c r="G40" s="196"/>
      <c r="H40" s="196">
        <v>200</v>
      </c>
      <c r="I40" s="311">
        <v>200</v>
      </c>
      <c r="J40" s="396"/>
      <c r="K40" s="424"/>
    </row>
    <row r="41" spans="1:11" ht="42" customHeight="1">
      <c r="A41" s="193" t="s">
        <v>59</v>
      </c>
      <c r="B41" s="194"/>
      <c r="C41" s="215" t="s">
        <v>547</v>
      </c>
      <c r="D41" s="214"/>
      <c r="E41" s="214"/>
      <c r="F41" s="214"/>
      <c r="G41" s="196"/>
      <c r="H41" s="196">
        <v>300</v>
      </c>
      <c r="I41" s="311">
        <v>300</v>
      </c>
      <c r="J41" s="396"/>
      <c r="K41" s="534"/>
    </row>
    <row r="42" spans="1:11" ht="42" customHeight="1">
      <c r="A42" s="193" t="s">
        <v>60</v>
      </c>
      <c r="B42" s="194"/>
      <c r="C42" s="215" t="s">
        <v>548</v>
      </c>
      <c r="D42" s="214"/>
      <c r="E42" s="214"/>
      <c r="F42" s="214"/>
      <c r="G42" s="196"/>
      <c r="H42" s="196">
        <v>65</v>
      </c>
      <c r="I42" s="311">
        <v>65</v>
      </c>
      <c r="J42" s="396"/>
      <c r="K42" s="534"/>
    </row>
    <row r="43" spans="1:11" ht="35.25" customHeight="1">
      <c r="A43" s="193" t="s">
        <v>61</v>
      </c>
      <c r="B43" s="194"/>
      <c r="C43" s="195" t="s">
        <v>414</v>
      </c>
      <c r="D43" s="214"/>
      <c r="E43" s="214"/>
      <c r="F43" s="214"/>
      <c r="G43" s="196"/>
      <c r="H43" s="196">
        <v>50</v>
      </c>
      <c r="I43" s="311">
        <v>50</v>
      </c>
      <c r="J43" s="229"/>
      <c r="K43" s="425"/>
    </row>
    <row r="44" spans="1:11" ht="47.25" customHeight="1">
      <c r="A44" s="1128" t="s">
        <v>393</v>
      </c>
      <c r="B44" s="1104"/>
      <c r="C44" s="177" t="s">
        <v>471</v>
      </c>
      <c r="D44" s="221"/>
      <c r="E44" s="221"/>
      <c r="F44" s="221"/>
      <c r="G44" s="217">
        <f>SUM(G45)</f>
        <v>0</v>
      </c>
      <c r="H44" s="217">
        <f>+H45+H46</f>
        <v>164</v>
      </c>
      <c r="I44" s="217">
        <f>+I45+I46</f>
        <v>164</v>
      </c>
      <c r="J44" s="426"/>
      <c r="K44" s="229"/>
    </row>
    <row r="45" spans="1:11" ht="35.25" customHeight="1">
      <c r="A45" s="189" t="s">
        <v>1</v>
      </c>
      <c r="B45" s="190"/>
      <c r="C45" s="407" t="s">
        <v>470</v>
      </c>
      <c r="D45" s="408"/>
      <c r="E45" s="408"/>
      <c r="F45" s="408"/>
      <c r="G45" s="191"/>
      <c r="H45" s="440">
        <v>122</v>
      </c>
      <c r="I45" s="441">
        <v>122</v>
      </c>
      <c r="J45" s="229"/>
      <c r="K45" s="229" t="s">
        <v>179</v>
      </c>
    </row>
    <row r="46" spans="1:11" ht="35.25" customHeight="1">
      <c r="A46" s="183" t="s">
        <v>2</v>
      </c>
      <c r="B46" s="184"/>
      <c r="C46" s="409" t="s">
        <v>475</v>
      </c>
      <c r="D46" s="410"/>
      <c r="E46" s="410"/>
      <c r="F46" s="410"/>
      <c r="G46" s="185"/>
      <c r="H46" s="312">
        <v>42</v>
      </c>
      <c r="I46" s="442">
        <v>42</v>
      </c>
      <c r="J46" s="229"/>
      <c r="K46" s="229" t="s">
        <v>179</v>
      </c>
    </row>
    <row r="47" spans="1:11" s="175" customFormat="1" ht="35.25" customHeight="1">
      <c r="A47" s="1129" t="s">
        <v>171</v>
      </c>
      <c r="B47" s="1130"/>
      <c r="C47" s="397" t="s">
        <v>521</v>
      </c>
      <c r="D47" s="398"/>
      <c r="E47" s="398"/>
      <c r="F47" s="398"/>
      <c r="G47" s="399">
        <v>0</v>
      </c>
      <c r="H47" s="399">
        <f>SUM(H48:H51)</f>
        <v>750</v>
      </c>
      <c r="I47" s="399">
        <f>SUM(I48:I51)</f>
        <v>750</v>
      </c>
      <c r="J47" s="279"/>
      <c r="K47" s="213"/>
    </row>
    <row r="48" spans="1:11" ht="35.25" customHeight="1">
      <c r="A48" s="393" t="s">
        <v>1</v>
      </c>
      <c r="B48" s="393"/>
      <c r="C48" s="409" t="s">
        <v>477</v>
      </c>
      <c r="D48" s="394"/>
      <c r="E48" s="394"/>
      <c r="F48" s="394"/>
      <c r="G48" s="395"/>
      <c r="H48" s="395">
        <v>200</v>
      </c>
      <c r="I48" s="395">
        <v>200</v>
      </c>
      <c r="J48" s="396"/>
      <c r="K48" s="231" t="s">
        <v>179</v>
      </c>
    </row>
    <row r="49" spans="1:11" ht="35.25" customHeight="1">
      <c r="A49" s="393" t="s">
        <v>2</v>
      </c>
      <c r="B49" s="393"/>
      <c r="C49" s="409" t="s">
        <v>549</v>
      </c>
      <c r="D49" s="394"/>
      <c r="E49" s="394"/>
      <c r="F49" s="394"/>
      <c r="G49" s="395"/>
      <c r="H49" s="395">
        <v>200</v>
      </c>
      <c r="I49" s="395">
        <v>200</v>
      </c>
      <c r="J49" s="396"/>
      <c r="K49" s="231"/>
    </row>
    <row r="50" spans="1:11" ht="35.25" customHeight="1">
      <c r="A50" s="393" t="s">
        <v>3</v>
      </c>
      <c r="B50" s="393"/>
      <c r="C50" s="409" t="s">
        <v>550</v>
      </c>
      <c r="D50" s="394"/>
      <c r="E50" s="394"/>
      <c r="F50" s="394"/>
      <c r="G50" s="395"/>
      <c r="H50" s="395">
        <v>150</v>
      </c>
      <c r="I50" s="395">
        <v>150</v>
      </c>
      <c r="J50" s="396"/>
      <c r="K50" s="231"/>
    </row>
    <row r="51" spans="1:11" ht="35.25" customHeight="1">
      <c r="A51" s="393" t="s">
        <v>4</v>
      </c>
      <c r="B51" s="393"/>
      <c r="C51" s="409" t="s">
        <v>407</v>
      </c>
      <c r="D51" s="394"/>
      <c r="E51" s="394"/>
      <c r="F51" s="394"/>
      <c r="G51" s="395"/>
      <c r="H51" s="395">
        <v>200</v>
      </c>
      <c r="I51" s="395">
        <v>200</v>
      </c>
      <c r="J51" s="396"/>
      <c r="K51" s="231" t="s">
        <v>179</v>
      </c>
    </row>
    <row r="52" spans="1:11" ht="35.25" customHeight="1">
      <c r="A52" s="1129" t="s">
        <v>522</v>
      </c>
      <c r="B52" s="1130"/>
      <c r="C52" s="397" t="s">
        <v>523</v>
      </c>
      <c r="D52" s="509">
        <f>SUM(D53)</f>
        <v>0</v>
      </c>
      <c r="E52" s="509">
        <f>SUM(E53)</f>
        <v>0</v>
      </c>
      <c r="F52" s="509">
        <f>SUM(F53)</f>
        <v>0</v>
      </c>
      <c r="G52" s="399">
        <v>0</v>
      </c>
      <c r="H52" s="399"/>
      <c r="I52" s="399"/>
      <c r="J52" s="279"/>
      <c r="K52" s="213"/>
    </row>
    <row r="53" spans="1:11" ht="35.25" customHeight="1">
      <c r="A53" s="393" t="s">
        <v>1</v>
      </c>
      <c r="B53" s="393"/>
      <c r="C53" s="409" t="s">
        <v>524</v>
      </c>
      <c r="D53" s="394"/>
      <c r="E53" s="395">
        <v>0</v>
      </c>
      <c r="F53" s="394"/>
      <c r="G53" s="395"/>
      <c r="H53" s="395"/>
      <c r="I53" s="395"/>
      <c r="J53" s="396"/>
      <c r="K53" s="231" t="s">
        <v>179</v>
      </c>
    </row>
    <row r="54" spans="1:12" ht="30.75" customHeight="1">
      <c r="A54" s="1131" t="s">
        <v>192</v>
      </c>
      <c r="B54" s="1131"/>
      <c r="C54" s="1131"/>
      <c r="D54" s="236">
        <f>SUM(D8+D17+D19+D21+D23+D25)+D52</f>
        <v>70</v>
      </c>
      <c r="E54" s="236">
        <f>SUM(E8+E17+E19+E21+E23+E25)+E52</f>
        <v>2965</v>
      </c>
      <c r="F54" s="236">
        <f>SUM(F8+F17+F19+F21+F23+F25)+F52</f>
        <v>2925</v>
      </c>
      <c r="G54" s="236">
        <f>SUM(G8+G17+G19+G21+G23+G25)</f>
        <v>61996</v>
      </c>
      <c r="H54" s="323">
        <f>SUM(H8+H17+H19+H21+H23+H25+H27+H44+H47)</f>
        <v>64267</v>
      </c>
      <c r="I54" s="323">
        <f>SUM(I8+I17+I19+I21+I23+I25+I27+I44+I47)</f>
        <v>62194</v>
      </c>
      <c r="J54" s="229"/>
      <c r="K54" s="237"/>
      <c r="L54" s="238">
        <f>+H54-G54</f>
        <v>2271</v>
      </c>
    </row>
    <row r="55" ht="23.25">
      <c r="J55" s="383"/>
    </row>
    <row r="56" spans="1:9" ht="21" customHeight="1">
      <c r="A56" s="1149" t="s">
        <v>193</v>
      </c>
      <c r="B56" s="1149"/>
      <c r="C56" s="1149"/>
      <c r="D56" s="1149"/>
      <c r="E56" s="1149"/>
      <c r="F56" s="1149"/>
      <c r="G56" s="1149"/>
      <c r="H56" s="384"/>
      <c r="I56" s="384"/>
    </row>
    <row r="58" spans="1:11" ht="71.25" customHeight="1">
      <c r="A58" s="1168" t="s">
        <v>67</v>
      </c>
      <c r="B58" s="1170" t="s">
        <v>69</v>
      </c>
      <c r="C58" s="1172" t="s">
        <v>21</v>
      </c>
      <c r="D58" s="1132" t="s">
        <v>194</v>
      </c>
      <c r="E58" s="1132"/>
      <c r="F58" s="1132"/>
      <c r="G58" s="1132" t="s">
        <v>195</v>
      </c>
      <c r="H58" s="1132"/>
      <c r="I58" s="1132"/>
      <c r="J58" s="1182" t="s">
        <v>68</v>
      </c>
      <c r="K58" s="1121" t="s">
        <v>22</v>
      </c>
    </row>
    <row r="59" spans="1:11" ht="71.25" customHeight="1">
      <c r="A59" s="1169"/>
      <c r="B59" s="1171"/>
      <c r="C59" s="1173"/>
      <c r="D59" s="239" t="s">
        <v>322</v>
      </c>
      <c r="E59" s="239" t="s">
        <v>319</v>
      </c>
      <c r="F59" s="239" t="s">
        <v>497</v>
      </c>
      <c r="G59" s="239" t="s">
        <v>322</v>
      </c>
      <c r="H59" s="239" t="s">
        <v>319</v>
      </c>
      <c r="I59" s="239" t="s">
        <v>497</v>
      </c>
      <c r="J59" s="1183"/>
      <c r="K59" s="1123"/>
    </row>
    <row r="60" spans="1:11" ht="29.25" customHeight="1">
      <c r="A60" s="1197" t="s">
        <v>45</v>
      </c>
      <c r="B60" s="1198"/>
      <c r="C60" s="1199"/>
      <c r="D60" s="1119" t="s">
        <v>176</v>
      </c>
      <c r="E60" s="1120"/>
      <c r="F60" s="1177"/>
      <c r="G60" s="1119" t="s">
        <v>167</v>
      </c>
      <c r="H60" s="1120"/>
      <c r="I60" s="1177"/>
      <c r="J60" s="355"/>
      <c r="K60" s="355"/>
    </row>
    <row r="61" spans="1:11" ht="30" customHeight="1">
      <c r="A61" s="179" t="s">
        <v>1</v>
      </c>
      <c r="B61" s="1200" t="s">
        <v>277</v>
      </c>
      <c r="C61" s="240" t="s">
        <v>196</v>
      </c>
      <c r="D61" s="241">
        <v>2000</v>
      </c>
      <c r="E61" s="241">
        <f>SUM(D61:D61)</f>
        <v>2000</v>
      </c>
      <c r="F61" s="241">
        <v>2000</v>
      </c>
      <c r="G61" s="241"/>
      <c r="H61" s="313"/>
      <c r="I61" s="313"/>
      <c r="J61" s="242"/>
      <c r="K61" s="216" t="s">
        <v>179</v>
      </c>
    </row>
    <row r="62" spans="1:11" ht="30" customHeight="1">
      <c r="A62" s="229" t="s">
        <v>2</v>
      </c>
      <c r="B62" s="1201"/>
      <c r="C62" s="243" t="s">
        <v>197</v>
      </c>
      <c r="D62" s="244">
        <v>0</v>
      </c>
      <c r="E62" s="241">
        <f>SUM(D62:D62)</f>
        <v>0</v>
      </c>
      <c r="F62" s="241"/>
      <c r="G62" s="244"/>
      <c r="H62" s="314"/>
      <c r="I62" s="314"/>
      <c r="J62" s="242"/>
      <c r="K62" s="216" t="s">
        <v>179</v>
      </c>
    </row>
    <row r="63" spans="1:11" ht="30" customHeight="1">
      <c r="A63" s="229" t="s">
        <v>3</v>
      </c>
      <c r="B63" s="1201"/>
      <c r="C63" s="243" t="s">
        <v>198</v>
      </c>
      <c r="D63" s="244">
        <v>16350</v>
      </c>
      <c r="E63" s="241">
        <v>16530</v>
      </c>
      <c r="F63" s="241">
        <v>16530</v>
      </c>
      <c r="G63" s="244"/>
      <c r="H63" s="314"/>
      <c r="I63" s="314"/>
      <c r="J63" s="242"/>
      <c r="K63" s="216" t="s">
        <v>179</v>
      </c>
    </row>
    <row r="64" spans="1:11" ht="30" customHeight="1">
      <c r="A64" s="229" t="s">
        <v>4</v>
      </c>
      <c r="B64" s="1202"/>
      <c r="C64" s="243" t="s">
        <v>199</v>
      </c>
      <c r="D64" s="244">
        <v>2000</v>
      </c>
      <c r="E64" s="241">
        <f>SUM(D64:D64)</f>
        <v>2000</v>
      </c>
      <c r="F64" s="241">
        <v>2000</v>
      </c>
      <c r="G64" s="244"/>
      <c r="H64" s="314"/>
      <c r="I64" s="314"/>
      <c r="J64" s="242"/>
      <c r="K64" s="216" t="s">
        <v>179</v>
      </c>
    </row>
    <row r="65" spans="1:11" ht="36" customHeight="1">
      <c r="A65" s="245"/>
      <c r="B65" s="246"/>
      <c r="C65" s="247" t="s">
        <v>192</v>
      </c>
      <c r="D65" s="248">
        <f>SUM(D61:D64)</f>
        <v>20350</v>
      </c>
      <c r="E65" s="248">
        <f>SUM(E61:E64)</f>
        <v>20530</v>
      </c>
      <c r="F65" s="248">
        <f>SUM(F61:F64)</f>
        <v>20530</v>
      </c>
      <c r="G65" s="402">
        <f>SUM(G61:G64)</f>
        <v>0</v>
      </c>
      <c r="H65" s="244">
        <f>SUM(H61:H64)</f>
        <v>0</v>
      </c>
      <c r="I65" s="244"/>
      <c r="J65" s="229"/>
      <c r="K65" s="229"/>
    </row>
    <row r="66" spans="1:10" ht="36.75" customHeight="1">
      <c r="A66" s="249"/>
      <c r="B66" s="249"/>
      <c r="C66" s="250"/>
      <c r="D66" s="251"/>
      <c r="E66" s="251"/>
      <c r="F66" s="251"/>
      <c r="G66" s="404"/>
      <c r="H66" s="251"/>
      <c r="I66" s="251"/>
      <c r="J66" s="206"/>
    </row>
    <row r="67" spans="1:13" s="115" customFormat="1" ht="37.5" customHeight="1" hidden="1">
      <c r="A67" s="1175" t="s">
        <v>141</v>
      </c>
      <c r="B67" s="1176"/>
      <c r="C67" s="1176"/>
      <c r="D67" s="252"/>
      <c r="E67" s="203"/>
      <c r="F67" s="403"/>
      <c r="G67" s="403"/>
      <c r="H67" s="206"/>
      <c r="I67" s="206"/>
      <c r="J67" s="204"/>
      <c r="K67" s="205"/>
      <c r="L67" s="206"/>
      <c r="M67" s="206"/>
    </row>
    <row r="68" spans="1:13" s="115" customFormat="1" ht="37.5" customHeight="1" hidden="1">
      <c r="A68" s="1110" t="s">
        <v>142</v>
      </c>
      <c r="B68" s="1111"/>
      <c r="C68" s="1111"/>
      <c r="D68" s="253">
        <f>+D20+D61+D62+D63+D64</f>
        <v>20420</v>
      </c>
      <c r="E68" s="207"/>
      <c r="F68" s="207"/>
      <c r="G68" s="207">
        <f>+G9+G10+G11+G12+G18+G20+G22+G24+G61+G62+G63+G64</f>
        <v>61596</v>
      </c>
      <c r="H68" s="301"/>
      <c r="I68" s="301"/>
      <c r="J68" s="204"/>
      <c r="K68" s="208"/>
      <c r="L68" s="206"/>
      <c r="M68" s="206"/>
    </row>
    <row r="69" spans="1:13" s="115" customFormat="1" ht="37.5" customHeight="1" hidden="1">
      <c r="A69" s="1099" t="s">
        <v>143</v>
      </c>
      <c r="B69" s="1100"/>
      <c r="C69" s="1100"/>
      <c r="D69" s="254"/>
      <c r="E69" s="209"/>
      <c r="F69" s="209"/>
      <c r="G69" s="209"/>
      <c r="H69" s="206"/>
      <c r="I69" s="206"/>
      <c r="J69" s="204"/>
      <c r="K69" s="208"/>
      <c r="L69" s="206"/>
      <c r="M69" s="206"/>
    </row>
    <row r="70" spans="1:13" s="115" customFormat="1" ht="37.5" customHeight="1" hidden="1">
      <c r="A70" s="1101" t="s">
        <v>27</v>
      </c>
      <c r="B70" s="1102"/>
      <c r="C70" s="1102"/>
      <c r="D70" s="255">
        <f>SUM(D67:D69)</f>
        <v>20420</v>
      </c>
      <c r="E70" s="210"/>
      <c r="F70" s="210"/>
      <c r="G70" s="256">
        <f>SUM(G67:G69)</f>
        <v>61596</v>
      </c>
      <c r="H70" s="302"/>
      <c r="I70" s="302"/>
      <c r="J70" s="257"/>
      <c r="K70" s="205"/>
      <c r="L70" s="206"/>
      <c r="M70" s="206"/>
    </row>
    <row r="71" spans="1:10" ht="39" customHeight="1" hidden="1">
      <c r="A71" s="249"/>
      <c r="B71" s="249"/>
      <c r="C71" s="250"/>
      <c r="D71" s="251"/>
      <c r="E71" s="251"/>
      <c r="F71" s="251"/>
      <c r="G71" s="251"/>
      <c r="H71" s="251"/>
      <c r="I71" s="251"/>
      <c r="J71" s="386"/>
    </row>
    <row r="72" spans="1:11" ht="39" customHeight="1">
      <c r="A72" s="1205" t="s">
        <v>448</v>
      </c>
      <c r="B72" s="1205"/>
      <c r="C72" s="1205"/>
      <c r="D72" s="1205"/>
      <c r="E72" s="1205"/>
      <c r="F72" s="1205"/>
      <c r="G72" s="1205"/>
      <c r="H72" s="1205"/>
      <c r="I72" s="1205"/>
      <c r="J72" s="1205"/>
      <c r="K72" s="1205"/>
    </row>
    <row r="73" spans="1:11" s="175" customFormat="1" ht="35.25" customHeight="1">
      <c r="A73" s="1129" t="s">
        <v>171</v>
      </c>
      <c r="B73" s="1130"/>
      <c r="C73" s="397" t="s">
        <v>387</v>
      </c>
      <c r="D73" s="398"/>
      <c r="E73" s="398"/>
      <c r="F73" s="398"/>
      <c r="G73" s="399">
        <v>0</v>
      </c>
      <c r="H73" s="399">
        <f>SUM(H74:H79)</f>
        <v>1970</v>
      </c>
      <c r="I73" s="399">
        <f>SUM(I74:I79)</f>
        <v>1970</v>
      </c>
      <c r="J73" s="279"/>
      <c r="K73" s="213"/>
    </row>
    <row r="74" spans="1:11" ht="35.25" customHeight="1">
      <c r="A74" s="393" t="s">
        <v>1</v>
      </c>
      <c r="B74" s="393"/>
      <c r="C74" s="405" t="s">
        <v>407</v>
      </c>
      <c r="D74" s="394"/>
      <c r="E74" s="394"/>
      <c r="F74" s="394"/>
      <c r="G74" s="395"/>
      <c r="H74" s="395">
        <v>450</v>
      </c>
      <c r="I74" s="395">
        <v>450</v>
      </c>
      <c r="J74" s="396"/>
      <c r="K74" s="231" t="s">
        <v>179</v>
      </c>
    </row>
    <row r="75" spans="1:11" ht="35.25" customHeight="1">
      <c r="A75" s="393" t="s">
        <v>2</v>
      </c>
      <c r="B75" s="393"/>
      <c r="C75" s="405" t="s">
        <v>415</v>
      </c>
      <c r="D75" s="394"/>
      <c r="E75" s="394"/>
      <c r="F75" s="394"/>
      <c r="G75" s="395"/>
      <c r="H75" s="395">
        <v>250</v>
      </c>
      <c r="I75" s="395">
        <v>250</v>
      </c>
      <c r="J75" s="396"/>
      <c r="K75" s="188" t="s">
        <v>179</v>
      </c>
    </row>
    <row r="76" spans="1:11" ht="35.25" customHeight="1">
      <c r="A76" s="393" t="s">
        <v>3</v>
      </c>
      <c r="B76" s="393"/>
      <c r="C76" s="405" t="s">
        <v>428</v>
      </c>
      <c r="D76" s="394"/>
      <c r="E76" s="394"/>
      <c r="F76" s="394"/>
      <c r="G76" s="395"/>
      <c r="H76" s="395">
        <v>120</v>
      </c>
      <c r="I76" s="395">
        <v>120</v>
      </c>
      <c r="J76" s="396"/>
      <c r="K76" s="188" t="s">
        <v>179</v>
      </c>
    </row>
    <row r="77" spans="1:11" ht="35.25" customHeight="1">
      <c r="A77" s="393" t="s">
        <v>4</v>
      </c>
      <c r="B77" s="393"/>
      <c r="C77" s="405" t="s">
        <v>429</v>
      </c>
      <c r="D77" s="394"/>
      <c r="E77" s="394"/>
      <c r="F77" s="394"/>
      <c r="G77" s="395"/>
      <c r="H77" s="395">
        <v>400</v>
      </c>
      <c r="I77" s="395">
        <v>400</v>
      </c>
      <c r="J77" s="396"/>
      <c r="K77" s="188" t="s">
        <v>179</v>
      </c>
    </row>
    <row r="78" spans="1:11" ht="35.25" customHeight="1">
      <c r="A78" s="393" t="s">
        <v>5</v>
      </c>
      <c r="B78" s="393"/>
      <c r="C78" s="405" t="s">
        <v>437</v>
      </c>
      <c r="D78" s="394"/>
      <c r="E78" s="394"/>
      <c r="F78" s="394"/>
      <c r="G78" s="395"/>
      <c r="H78" s="395">
        <v>450</v>
      </c>
      <c r="I78" s="395">
        <v>450</v>
      </c>
      <c r="J78" s="396"/>
      <c r="K78" s="188" t="s">
        <v>179</v>
      </c>
    </row>
    <row r="79" spans="1:11" ht="35.25" customHeight="1">
      <c r="A79" s="393" t="s">
        <v>6</v>
      </c>
      <c r="B79" s="393"/>
      <c r="C79" s="405" t="s">
        <v>438</v>
      </c>
      <c r="D79" s="394"/>
      <c r="E79" s="394"/>
      <c r="F79" s="394"/>
      <c r="G79" s="395"/>
      <c r="H79" s="395">
        <v>300</v>
      </c>
      <c r="I79" s="395">
        <v>300</v>
      </c>
      <c r="J79" s="396"/>
      <c r="K79" s="188" t="s">
        <v>179</v>
      </c>
    </row>
    <row r="80" spans="1:11" s="175" customFormat="1" ht="35.25" customHeight="1">
      <c r="A80" s="1129" t="s">
        <v>388</v>
      </c>
      <c r="B80" s="1130"/>
      <c r="C80" s="397" t="s">
        <v>389</v>
      </c>
      <c r="D80" s="398"/>
      <c r="E80" s="398"/>
      <c r="F80" s="398"/>
      <c r="G80" s="399">
        <v>0</v>
      </c>
      <c r="H80" s="399">
        <f>SUM(H81:H84)</f>
        <v>380</v>
      </c>
      <c r="I80" s="399">
        <f>SUM(I81:I84)</f>
        <v>380</v>
      </c>
      <c r="J80" s="279"/>
      <c r="K80" s="213"/>
    </row>
    <row r="81" spans="1:11" ht="35.25" customHeight="1">
      <c r="A81" s="393" t="s">
        <v>1</v>
      </c>
      <c r="B81" s="393"/>
      <c r="C81" s="405" t="s">
        <v>401</v>
      </c>
      <c r="D81" s="394"/>
      <c r="E81" s="394"/>
      <c r="F81" s="394"/>
      <c r="G81" s="395"/>
      <c r="H81" s="395">
        <v>100</v>
      </c>
      <c r="I81" s="395">
        <v>100</v>
      </c>
      <c r="J81" s="396"/>
      <c r="K81" s="188" t="s">
        <v>179</v>
      </c>
    </row>
    <row r="82" spans="1:11" ht="35.25" customHeight="1">
      <c r="A82" s="393" t="s">
        <v>2</v>
      </c>
      <c r="B82" s="393"/>
      <c r="C82" s="405" t="s">
        <v>422</v>
      </c>
      <c r="D82" s="394"/>
      <c r="E82" s="394"/>
      <c r="F82" s="394"/>
      <c r="G82" s="395"/>
      <c r="H82" s="395">
        <v>80</v>
      </c>
      <c r="I82" s="395">
        <v>80</v>
      </c>
      <c r="J82" s="396"/>
      <c r="K82" s="188" t="s">
        <v>179</v>
      </c>
    </row>
    <row r="83" spans="1:11" ht="35.25" customHeight="1">
      <c r="A83" s="393" t="s">
        <v>3</v>
      </c>
      <c r="B83" s="393"/>
      <c r="C83" s="405" t="s">
        <v>449</v>
      </c>
      <c r="D83" s="394"/>
      <c r="E83" s="394"/>
      <c r="F83" s="394"/>
      <c r="G83" s="395"/>
      <c r="H83" s="395">
        <v>100</v>
      </c>
      <c r="I83" s="395">
        <v>100</v>
      </c>
      <c r="J83" s="396"/>
      <c r="K83" s="188" t="s">
        <v>179</v>
      </c>
    </row>
    <row r="84" spans="1:11" ht="35.25" customHeight="1">
      <c r="A84" s="393" t="s">
        <v>4</v>
      </c>
      <c r="B84" s="393"/>
      <c r="C84" s="405" t="s">
        <v>427</v>
      </c>
      <c r="D84" s="394"/>
      <c r="E84" s="394"/>
      <c r="F84" s="394"/>
      <c r="G84" s="395"/>
      <c r="H84" s="395">
        <v>100</v>
      </c>
      <c r="I84" s="395">
        <v>100</v>
      </c>
      <c r="J84" s="396"/>
      <c r="K84" s="188" t="s">
        <v>179</v>
      </c>
    </row>
    <row r="85" spans="1:11" s="175" customFormat="1" ht="35.25" customHeight="1">
      <c r="A85" s="1129" t="s">
        <v>272</v>
      </c>
      <c r="B85" s="1130"/>
      <c r="C85" s="397" t="s">
        <v>390</v>
      </c>
      <c r="D85" s="398"/>
      <c r="E85" s="398"/>
      <c r="F85" s="398"/>
      <c r="G85" s="399">
        <v>0</v>
      </c>
      <c r="H85" s="399">
        <f>SUM(H86:H87)</f>
        <v>330</v>
      </c>
      <c r="I85" s="399">
        <f>SUM(I86:I87)</f>
        <v>330</v>
      </c>
      <c r="J85" s="279"/>
      <c r="K85" s="213"/>
    </row>
    <row r="86" spans="1:11" s="175" customFormat="1" ht="35.25" customHeight="1">
      <c r="A86" s="393" t="s">
        <v>1</v>
      </c>
      <c r="B86" s="400"/>
      <c r="C86" s="405" t="s">
        <v>398</v>
      </c>
      <c r="D86" s="398"/>
      <c r="E86" s="398"/>
      <c r="F86" s="398"/>
      <c r="G86" s="399"/>
      <c r="H86" s="395">
        <v>180</v>
      </c>
      <c r="I86" s="395">
        <v>180</v>
      </c>
      <c r="J86" s="279"/>
      <c r="K86" s="188" t="s">
        <v>179</v>
      </c>
    </row>
    <row r="87" spans="1:11" s="175" customFormat="1" ht="35.25" customHeight="1">
      <c r="A87" s="393" t="s">
        <v>2</v>
      </c>
      <c r="B87" s="400"/>
      <c r="C87" s="405" t="s">
        <v>435</v>
      </c>
      <c r="D87" s="398"/>
      <c r="E87" s="398"/>
      <c r="F87" s="398"/>
      <c r="G87" s="399"/>
      <c r="H87" s="395">
        <v>150</v>
      </c>
      <c r="I87" s="395">
        <v>150</v>
      </c>
      <c r="J87" s="279"/>
      <c r="K87" s="188" t="s">
        <v>179</v>
      </c>
    </row>
    <row r="88" spans="1:11" s="175" customFormat="1" ht="43.5" customHeight="1">
      <c r="A88" s="1129" t="s">
        <v>392</v>
      </c>
      <c r="B88" s="1130"/>
      <c r="C88" s="398" t="s">
        <v>391</v>
      </c>
      <c r="D88" s="329"/>
      <c r="E88" s="329"/>
      <c r="F88" s="329"/>
      <c r="G88" s="399">
        <v>0</v>
      </c>
      <c r="H88" s="399">
        <f>SUM(H89:H123)</f>
        <v>9600</v>
      </c>
      <c r="I88" s="399">
        <f>SUM(I89:I123)</f>
        <v>9600</v>
      </c>
      <c r="J88" s="279"/>
      <c r="K88" s="213"/>
    </row>
    <row r="89" spans="1:11" s="175" customFormat="1" ht="43.5" customHeight="1">
      <c r="A89" s="393" t="s">
        <v>1</v>
      </c>
      <c r="B89" s="400"/>
      <c r="C89" s="405" t="s">
        <v>395</v>
      </c>
      <c r="D89" s="329"/>
      <c r="E89" s="329"/>
      <c r="F89" s="329"/>
      <c r="G89" s="329"/>
      <c r="H89" s="395">
        <v>250</v>
      </c>
      <c r="I89" s="395">
        <v>250</v>
      </c>
      <c r="J89" s="279"/>
      <c r="K89" s="188" t="s">
        <v>179</v>
      </c>
    </row>
    <row r="90" spans="1:11" s="175" customFormat="1" ht="43.5" customHeight="1">
      <c r="A90" s="393" t="s">
        <v>2</v>
      </c>
      <c r="B90" s="400"/>
      <c r="C90" s="405" t="s">
        <v>396</v>
      </c>
      <c r="D90" s="329"/>
      <c r="E90" s="329"/>
      <c r="F90" s="329"/>
      <c r="G90" s="329"/>
      <c r="H90" s="395">
        <v>150</v>
      </c>
      <c r="I90" s="395">
        <v>150</v>
      </c>
      <c r="J90" s="279"/>
      <c r="K90" s="188" t="s">
        <v>179</v>
      </c>
    </row>
    <row r="91" spans="1:11" s="175" customFormat="1" ht="43.5" customHeight="1">
      <c r="A91" s="393" t="s">
        <v>3</v>
      </c>
      <c r="B91" s="400"/>
      <c r="C91" s="405" t="s">
        <v>397</v>
      </c>
      <c r="D91" s="329"/>
      <c r="E91" s="329"/>
      <c r="F91" s="329"/>
      <c r="G91" s="329"/>
      <c r="H91" s="395">
        <v>350</v>
      </c>
      <c r="I91" s="395">
        <v>350</v>
      </c>
      <c r="J91" s="279"/>
      <c r="K91" s="188" t="s">
        <v>179</v>
      </c>
    </row>
    <row r="92" spans="1:11" s="175" customFormat="1" ht="43.5" customHeight="1">
      <c r="A92" s="393" t="s">
        <v>4</v>
      </c>
      <c r="B92" s="400"/>
      <c r="C92" s="405" t="s">
        <v>399</v>
      </c>
      <c r="D92" s="329"/>
      <c r="E92" s="329"/>
      <c r="F92" s="329"/>
      <c r="G92" s="329"/>
      <c r="H92" s="395">
        <v>200</v>
      </c>
      <c r="I92" s="395">
        <v>200</v>
      </c>
      <c r="J92" s="279"/>
      <c r="K92" s="188" t="s">
        <v>179</v>
      </c>
    </row>
    <row r="93" spans="1:11" s="175" customFormat="1" ht="43.5" customHeight="1">
      <c r="A93" s="393" t="s">
        <v>5</v>
      </c>
      <c r="B93" s="400"/>
      <c r="C93" s="405" t="s">
        <v>400</v>
      </c>
      <c r="D93" s="329"/>
      <c r="E93" s="329"/>
      <c r="F93" s="329"/>
      <c r="G93" s="329"/>
      <c r="H93" s="395">
        <v>500</v>
      </c>
      <c r="I93" s="395">
        <v>500</v>
      </c>
      <c r="J93" s="279"/>
      <c r="K93" s="188" t="s">
        <v>179</v>
      </c>
    </row>
    <row r="94" spans="1:11" s="175" customFormat="1" ht="43.5" customHeight="1">
      <c r="A94" s="393" t="s">
        <v>6</v>
      </c>
      <c r="B94" s="400"/>
      <c r="C94" s="405" t="s">
        <v>404</v>
      </c>
      <c r="D94" s="329"/>
      <c r="E94" s="329"/>
      <c r="F94" s="329"/>
      <c r="G94" s="329"/>
      <c r="H94" s="395">
        <v>570</v>
      </c>
      <c r="I94" s="395">
        <v>570</v>
      </c>
      <c r="J94" s="279"/>
      <c r="K94" s="188" t="s">
        <v>179</v>
      </c>
    </row>
    <row r="95" spans="1:11" s="175" customFormat="1" ht="43.5" customHeight="1">
      <c r="A95" s="393" t="s">
        <v>7</v>
      </c>
      <c r="B95" s="400"/>
      <c r="C95" s="405" t="s">
        <v>406</v>
      </c>
      <c r="D95" s="329"/>
      <c r="E95" s="329"/>
      <c r="F95" s="329"/>
      <c r="G95" s="329"/>
      <c r="H95" s="395">
        <v>200</v>
      </c>
      <c r="I95" s="395">
        <v>200</v>
      </c>
      <c r="J95" s="279"/>
      <c r="K95" s="188" t="s">
        <v>179</v>
      </c>
    </row>
    <row r="96" spans="1:11" s="175" customFormat="1" ht="43.5" customHeight="1">
      <c r="A96" s="393" t="s">
        <v>8</v>
      </c>
      <c r="B96" s="400"/>
      <c r="C96" s="405" t="s">
        <v>408</v>
      </c>
      <c r="D96" s="329"/>
      <c r="E96" s="329"/>
      <c r="F96" s="329"/>
      <c r="G96" s="329"/>
      <c r="H96" s="395">
        <v>50</v>
      </c>
      <c r="I96" s="395">
        <v>50</v>
      </c>
      <c r="J96" s="279"/>
      <c r="K96" s="188" t="s">
        <v>179</v>
      </c>
    </row>
    <row r="97" spans="1:11" s="175" customFormat="1" ht="43.5" customHeight="1">
      <c r="A97" s="393" t="s">
        <v>9</v>
      </c>
      <c r="B97" s="400"/>
      <c r="C97" s="405" t="s">
        <v>409</v>
      </c>
      <c r="D97" s="329"/>
      <c r="E97" s="329"/>
      <c r="F97" s="329"/>
      <c r="G97" s="329"/>
      <c r="H97" s="395">
        <v>50</v>
      </c>
      <c r="I97" s="395">
        <v>50</v>
      </c>
      <c r="J97" s="279"/>
      <c r="K97" s="188" t="s">
        <v>179</v>
      </c>
    </row>
    <row r="98" spans="1:11" s="175" customFormat="1" ht="43.5" customHeight="1">
      <c r="A98" s="393" t="s">
        <v>10</v>
      </c>
      <c r="B98" s="400"/>
      <c r="C98" s="405" t="s">
        <v>410</v>
      </c>
      <c r="D98" s="329"/>
      <c r="E98" s="329"/>
      <c r="F98" s="329"/>
      <c r="G98" s="329"/>
      <c r="H98" s="395">
        <v>100</v>
      </c>
      <c r="I98" s="395">
        <v>100</v>
      </c>
      <c r="J98" s="279"/>
      <c r="K98" s="188" t="s">
        <v>179</v>
      </c>
    </row>
    <row r="99" spans="1:11" s="175" customFormat="1" ht="43.5" customHeight="1">
      <c r="A99" s="393" t="s">
        <v>11</v>
      </c>
      <c r="B99" s="400"/>
      <c r="C99" s="405" t="s">
        <v>411</v>
      </c>
      <c r="D99" s="329"/>
      <c r="E99" s="329"/>
      <c r="F99" s="329"/>
      <c r="G99" s="329"/>
      <c r="H99" s="395">
        <v>100</v>
      </c>
      <c r="I99" s="395">
        <v>100</v>
      </c>
      <c r="J99" s="279"/>
      <c r="K99" s="188" t="s">
        <v>179</v>
      </c>
    </row>
    <row r="100" spans="1:11" s="175" customFormat="1" ht="43.5" customHeight="1">
      <c r="A100" s="393" t="s">
        <v>57</v>
      </c>
      <c r="B100" s="400"/>
      <c r="C100" s="405" t="s">
        <v>412</v>
      </c>
      <c r="D100" s="329"/>
      <c r="E100" s="329"/>
      <c r="F100" s="329"/>
      <c r="G100" s="329"/>
      <c r="H100" s="395">
        <v>100</v>
      </c>
      <c r="I100" s="395">
        <v>100</v>
      </c>
      <c r="J100" s="279"/>
      <c r="K100" s="188" t="s">
        <v>179</v>
      </c>
    </row>
    <row r="101" spans="1:11" s="175" customFormat="1" ht="43.5" customHeight="1">
      <c r="A101" s="393" t="s">
        <v>58</v>
      </c>
      <c r="B101" s="400"/>
      <c r="C101" s="405" t="s">
        <v>413</v>
      </c>
      <c r="D101" s="329"/>
      <c r="E101" s="329"/>
      <c r="F101" s="329"/>
      <c r="G101" s="329"/>
      <c r="H101" s="395">
        <v>100</v>
      </c>
      <c r="I101" s="395">
        <v>100</v>
      </c>
      <c r="J101" s="279"/>
      <c r="K101" s="188" t="s">
        <v>179</v>
      </c>
    </row>
    <row r="102" spans="1:11" s="175" customFormat="1" ht="43.5" customHeight="1">
      <c r="A102" s="393" t="s">
        <v>59</v>
      </c>
      <c r="B102" s="400"/>
      <c r="C102" s="405" t="s">
        <v>414</v>
      </c>
      <c r="D102" s="329"/>
      <c r="E102" s="329"/>
      <c r="F102" s="329"/>
      <c r="G102" s="329"/>
      <c r="H102" s="395">
        <v>150</v>
      </c>
      <c r="I102" s="395">
        <v>150</v>
      </c>
      <c r="J102" s="279"/>
      <c r="K102" s="188" t="s">
        <v>179</v>
      </c>
    </row>
    <row r="103" spans="1:11" s="175" customFormat="1" ht="43.5" customHeight="1">
      <c r="A103" s="393" t="s">
        <v>60</v>
      </c>
      <c r="B103" s="400"/>
      <c r="C103" s="405" t="s">
        <v>416</v>
      </c>
      <c r="D103" s="329"/>
      <c r="E103" s="329"/>
      <c r="F103" s="329"/>
      <c r="G103" s="329"/>
      <c r="H103" s="395">
        <v>150</v>
      </c>
      <c r="I103" s="395">
        <v>150</v>
      </c>
      <c r="J103" s="279"/>
      <c r="K103" s="188" t="s">
        <v>179</v>
      </c>
    </row>
    <row r="104" spans="1:11" s="175" customFormat="1" ht="43.5" customHeight="1">
      <c r="A104" s="393" t="s">
        <v>61</v>
      </c>
      <c r="B104" s="400"/>
      <c r="C104" s="405" t="s">
        <v>418</v>
      </c>
      <c r="D104" s="329"/>
      <c r="E104" s="329"/>
      <c r="F104" s="329"/>
      <c r="G104" s="329"/>
      <c r="H104" s="395">
        <v>400</v>
      </c>
      <c r="I104" s="395">
        <v>400</v>
      </c>
      <c r="J104" s="279"/>
      <c r="K104" s="188" t="s">
        <v>179</v>
      </c>
    </row>
    <row r="105" spans="1:11" s="175" customFormat="1" ht="43.5" customHeight="1">
      <c r="A105" s="393" t="s">
        <v>62</v>
      </c>
      <c r="B105" s="400"/>
      <c r="C105" s="405" t="s">
        <v>419</v>
      </c>
      <c r="D105" s="329"/>
      <c r="E105" s="329"/>
      <c r="F105" s="329"/>
      <c r="G105" s="329"/>
      <c r="H105" s="395">
        <v>350</v>
      </c>
      <c r="I105" s="395">
        <v>350</v>
      </c>
      <c r="J105" s="279"/>
      <c r="K105" s="188" t="s">
        <v>179</v>
      </c>
    </row>
    <row r="106" spans="1:11" s="175" customFormat="1" ht="43.5" customHeight="1">
      <c r="A106" s="393" t="s">
        <v>63</v>
      </c>
      <c r="B106" s="400"/>
      <c r="C106" s="405" t="s">
        <v>420</v>
      </c>
      <c r="D106" s="329"/>
      <c r="E106" s="329"/>
      <c r="F106" s="329"/>
      <c r="G106" s="329"/>
      <c r="H106" s="395">
        <v>100</v>
      </c>
      <c r="I106" s="395">
        <v>100</v>
      </c>
      <c r="J106" s="279"/>
      <c r="K106" s="188" t="s">
        <v>179</v>
      </c>
    </row>
    <row r="107" spans="1:11" s="175" customFormat="1" ht="43.5" customHeight="1">
      <c r="A107" s="393" t="s">
        <v>64</v>
      </c>
      <c r="B107" s="400"/>
      <c r="C107" s="405" t="s">
        <v>421</v>
      </c>
      <c r="D107" s="329"/>
      <c r="E107" s="329"/>
      <c r="F107" s="329"/>
      <c r="G107" s="329"/>
      <c r="H107" s="395">
        <v>100</v>
      </c>
      <c r="I107" s="395">
        <v>100</v>
      </c>
      <c r="J107" s="279"/>
      <c r="K107" s="188" t="s">
        <v>179</v>
      </c>
    </row>
    <row r="108" spans="1:11" s="175" customFormat="1" ht="43.5" customHeight="1">
      <c r="A108" s="393" t="s">
        <v>65</v>
      </c>
      <c r="B108" s="400"/>
      <c r="C108" s="405" t="s">
        <v>423</v>
      </c>
      <c r="D108" s="329"/>
      <c r="E108" s="329"/>
      <c r="F108" s="329"/>
      <c r="G108" s="329"/>
      <c r="H108" s="395">
        <v>380</v>
      </c>
      <c r="I108" s="395">
        <v>380</v>
      </c>
      <c r="J108" s="279"/>
      <c r="K108" s="188" t="s">
        <v>179</v>
      </c>
    </row>
    <row r="109" spans="1:11" s="175" customFormat="1" ht="43.5" customHeight="1">
      <c r="A109" s="393" t="s">
        <v>302</v>
      </c>
      <c r="B109" s="400"/>
      <c r="C109" s="405" t="s">
        <v>425</v>
      </c>
      <c r="D109" s="329"/>
      <c r="E109" s="329"/>
      <c r="F109" s="329"/>
      <c r="G109" s="329"/>
      <c r="H109" s="395">
        <v>850</v>
      </c>
      <c r="I109" s="395">
        <v>850</v>
      </c>
      <c r="J109" s="279"/>
      <c r="K109" s="188" t="s">
        <v>179</v>
      </c>
    </row>
    <row r="110" spans="1:11" s="175" customFormat="1" ht="43.5" customHeight="1">
      <c r="A110" s="393" t="s">
        <v>303</v>
      </c>
      <c r="B110" s="400"/>
      <c r="C110" s="405" t="s">
        <v>426</v>
      </c>
      <c r="D110" s="329"/>
      <c r="E110" s="329"/>
      <c r="F110" s="329"/>
      <c r="G110" s="329"/>
      <c r="H110" s="395">
        <v>150</v>
      </c>
      <c r="I110" s="395">
        <v>150</v>
      </c>
      <c r="J110" s="279"/>
      <c r="K110" s="188" t="s">
        <v>179</v>
      </c>
    </row>
    <row r="111" spans="1:11" s="175" customFormat="1" ht="43.5" customHeight="1">
      <c r="A111" s="393" t="s">
        <v>304</v>
      </c>
      <c r="B111" s="400"/>
      <c r="C111" s="405" t="s">
        <v>430</v>
      </c>
      <c r="D111" s="329"/>
      <c r="E111" s="329"/>
      <c r="F111" s="329"/>
      <c r="G111" s="329"/>
      <c r="H111" s="395">
        <v>450</v>
      </c>
      <c r="I111" s="395">
        <v>450</v>
      </c>
      <c r="J111" s="279"/>
      <c r="K111" s="188" t="s">
        <v>179</v>
      </c>
    </row>
    <row r="112" spans="1:11" s="175" customFormat="1" ht="43.5" customHeight="1">
      <c r="A112" s="393" t="s">
        <v>305</v>
      </c>
      <c r="B112" s="400"/>
      <c r="C112" s="405" t="s">
        <v>432</v>
      </c>
      <c r="D112" s="329"/>
      <c r="E112" s="329"/>
      <c r="F112" s="329"/>
      <c r="G112" s="329"/>
      <c r="H112" s="395">
        <v>350</v>
      </c>
      <c r="I112" s="395">
        <v>350</v>
      </c>
      <c r="J112" s="279"/>
      <c r="K112" s="188" t="s">
        <v>179</v>
      </c>
    </row>
    <row r="113" spans="1:11" s="175" customFormat="1" ht="43.5" customHeight="1">
      <c r="A113" s="393" t="s">
        <v>306</v>
      </c>
      <c r="B113" s="400"/>
      <c r="C113" s="405" t="s">
        <v>433</v>
      </c>
      <c r="D113" s="329"/>
      <c r="E113" s="329"/>
      <c r="F113" s="329"/>
      <c r="G113" s="329"/>
      <c r="H113" s="395">
        <v>300</v>
      </c>
      <c r="I113" s="395">
        <v>300</v>
      </c>
      <c r="J113" s="279"/>
      <c r="K113" s="188" t="s">
        <v>179</v>
      </c>
    </row>
    <row r="114" spans="1:11" s="175" customFormat="1" ht="43.5" customHeight="1">
      <c r="A114" s="393" t="s">
        <v>307</v>
      </c>
      <c r="B114" s="400"/>
      <c r="C114" s="405" t="s">
        <v>434</v>
      </c>
      <c r="D114" s="329"/>
      <c r="E114" s="329"/>
      <c r="F114" s="329"/>
      <c r="G114" s="329"/>
      <c r="H114" s="395">
        <v>600</v>
      </c>
      <c r="I114" s="395">
        <v>600</v>
      </c>
      <c r="J114" s="279"/>
      <c r="K114" s="188" t="s">
        <v>179</v>
      </c>
    </row>
    <row r="115" spans="1:11" s="175" customFormat="1" ht="43.5" customHeight="1">
      <c r="A115" s="393" t="s">
        <v>308</v>
      </c>
      <c r="B115" s="400"/>
      <c r="C115" s="405" t="s">
        <v>436</v>
      </c>
      <c r="D115" s="329"/>
      <c r="E115" s="329"/>
      <c r="F115" s="329"/>
      <c r="G115" s="329"/>
      <c r="H115" s="395">
        <v>450</v>
      </c>
      <c r="I115" s="395">
        <v>450</v>
      </c>
      <c r="J115" s="279"/>
      <c r="K115" s="188" t="s">
        <v>179</v>
      </c>
    </row>
    <row r="116" spans="1:11" s="175" customFormat="1" ht="43.5" customHeight="1">
      <c r="A116" s="393" t="s">
        <v>309</v>
      </c>
      <c r="B116" s="400"/>
      <c r="C116" s="405" t="s">
        <v>439</v>
      </c>
      <c r="D116" s="329"/>
      <c r="E116" s="329"/>
      <c r="F116" s="329"/>
      <c r="G116" s="329"/>
      <c r="H116" s="395">
        <v>100</v>
      </c>
      <c r="I116" s="395">
        <v>100</v>
      </c>
      <c r="J116" s="279"/>
      <c r="K116" s="188" t="s">
        <v>179</v>
      </c>
    </row>
    <row r="117" spans="1:11" s="175" customFormat="1" ht="43.5" customHeight="1">
      <c r="A117" s="393" t="s">
        <v>310</v>
      </c>
      <c r="B117" s="400"/>
      <c r="C117" s="405" t="s">
        <v>440</v>
      </c>
      <c r="D117" s="329"/>
      <c r="E117" s="329"/>
      <c r="F117" s="329"/>
      <c r="G117" s="329"/>
      <c r="H117" s="395">
        <v>350</v>
      </c>
      <c r="I117" s="395">
        <v>350</v>
      </c>
      <c r="J117" s="279"/>
      <c r="K117" s="188" t="s">
        <v>179</v>
      </c>
    </row>
    <row r="118" spans="1:11" s="175" customFormat="1" ht="43.5" customHeight="1">
      <c r="A118" s="393" t="s">
        <v>311</v>
      </c>
      <c r="B118" s="400"/>
      <c r="C118" s="405" t="s">
        <v>441</v>
      </c>
      <c r="D118" s="329"/>
      <c r="E118" s="329"/>
      <c r="F118" s="329"/>
      <c r="G118" s="329"/>
      <c r="H118" s="395">
        <v>250</v>
      </c>
      <c r="I118" s="395">
        <v>250</v>
      </c>
      <c r="J118" s="279"/>
      <c r="K118" s="188" t="s">
        <v>179</v>
      </c>
    </row>
    <row r="119" spans="1:11" s="175" customFormat="1" ht="43.5" customHeight="1">
      <c r="A119" s="393" t="s">
        <v>312</v>
      </c>
      <c r="B119" s="400"/>
      <c r="C119" s="405" t="s">
        <v>442</v>
      </c>
      <c r="D119" s="329"/>
      <c r="E119" s="329"/>
      <c r="F119" s="329"/>
      <c r="G119" s="329"/>
      <c r="H119" s="395">
        <v>200</v>
      </c>
      <c r="I119" s="395">
        <v>200</v>
      </c>
      <c r="J119" s="279"/>
      <c r="K119" s="188" t="s">
        <v>179</v>
      </c>
    </row>
    <row r="120" spans="1:11" s="175" customFormat="1" ht="43.5" customHeight="1">
      <c r="A120" s="393" t="s">
        <v>313</v>
      </c>
      <c r="B120" s="400"/>
      <c r="C120" s="405" t="s">
        <v>444</v>
      </c>
      <c r="D120" s="329"/>
      <c r="E120" s="329"/>
      <c r="F120" s="329"/>
      <c r="G120" s="329"/>
      <c r="H120" s="395">
        <v>150</v>
      </c>
      <c r="I120" s="395">
        <v>150</v>
      </c>
      <c r="J120" s="279"/>
      <c r="K120" s="188" t="s">
        <v>179</v>
      </c>
    </row>
    <row r="121" spans="1:11" s="175" customFormat="1" ht="43.5" customHeight="1">
      <c r="A121" s="393" t="s">
        <v>314</v>
      </c>
      <c r="B121" s="400"/>
      <c r="C121" s="405" t="s">
        <v>445</v>
      </c>
      <c r="D121" s="329"/>
      <c r="E121" s="329"/>
      <c r="F121" s="329"/>
      <c r="G121" s="329"/>
      <c r="H121" s="395">
        <v>400</v>
      </c>
      <c r="I121" s="395">
        <v>400</v>
      </c>
      <c r="J121" s="279"/>
      <c r="K121" s="188" t="s">
        <v>179</v>
      </c>
    </row>
    <row r="122" spans="1:11" s="175" customFormat="1" ht="43.5" customHeight="1">
      <c r="A122" s="393" t="s">
        <v>315</v>
      </c>
      <c r="B122" s="400"/>
      <c r="C122" s="405" t="s">
        <v>446</v>
      </c>
      <c r="D122" s="329"/>
      <c r="E122" s="329"/>
      <c r="F122" s="329"/>
      <c r="G122" s="329"/>
      <c r="H122" s="395">
        <v>200</v>
      </c>
      <c r="I122" s="395">
        <v>200</v>
      </c>
      <c r="J122" s="279"/>
      <c r="K122" s="188" t="s">
        <v>179</v>
      </c>
    </row>
    <row r="123" spans="1:11" s="175" customFormat="1" ht="43.5" customHeight="1">
      <c r="A123" s="393" t="s">
        <v>316</v>
      </c>
      <c r="B123" s="400"/>
      <c r="C123" s="405" t="s">
        <v>447</v>
      </c>
      <c r="D123" s="329"/>
      <c r="E123" s="329"/>
      <c r="F123" s="329"/>
      <c r="G123" s="329"/>
      <c r="H123" s="395">
        <v>450</v>
      </c>
      <c r="I123" s="395">
        <v>450</v>
      </c>
      <c r="J123" s="279"/>
      <c r="K123" s="188" t="s">
        <v>179</v>
      </c>
    </row>
    <row r="124" spans="1:11" s="175" customFormat="1" ht="40.5" customHeight="1">
      <c r="A124" s="1129" t="s">
        <v>393</v>
      </c>
      <c r="B124" s="1130"/>
      <c r="C124" s="397" t="s">
        <v>394</v>
      </c>
      <c r="D124" s="329"/>
      <c r="E124" s="329"/>
      <c r="F124" s="329"/>
      <c r="G124" s="399">
        <v>0</v>
      </c>
      <c r="H124" s="399">
        <f>SUM(H125:H130)</f>
        <v>1720</v>
      </c>
      <c r="I124" s="399">
        <f>SUM(I125:I130)</f>
        <v>1720</v>
      </c>
      <c r="J124" s="279"/>
      <c r="K124" s="213"/>
    </row>
    <row r="125" spans="1:11" s="175" customFormat="1" ht="40.5" customHeight="1">
      <c r="A125" s="393" t="s">
        <v>1</v>
      </c>
      <c r="B125" s="400"/>
      <c r="C125" s="405" t="s">
        <v>402</v>
      </c>
      <c r="D125" s="329"/>
      <c r="E125" s="329"/>
      <c r="F125" s="329"/>
      <c r="G125" s="329"/>
      <c r="H125" s="395">
        <v>400</v>
      </c>
      <c r="I125" s="395">
        <v>400</v>
      </c>
      <c r="J125" s="279"/>
      <c r="K125" s="188" t="s">
        <v>179</v>
      </c>
    </row>
    <row r="126" spans="1:11" s="175" customFormat="1" ht="40.5" customHeight="1">
      <c r="A126" s="393" t="s">
        <v>2</v>
      </c>
      <c r="B126" s="400"/>
      <c r="C126" s="405" t="s">
        <v>405</v>
      </c>
      <c r="D126" s="329"/>
      <c r="E126" s="329"/>
      <c r="F126" s="329"/>
      <c r="G126" s="329"/>
      <c r="H126" s="395">
        <v>400</v>
      </c>
      <c r="I126" s="395">
        <v>400</v>
      </c>
      <c r="J126" s="279"/>
      <c r="K126" s="188" t="s">
        <v>179</v>
      </c>
    </row>
    <row r="127" spans="1:11" s="175" customFormat="1" ht="40.5" customHeight="1">
      <c r="A127" s="393" t="s">
        <v>3</v>
      </c>
      <c r="B127" s="400"/>
      <c r="C127" s="405" t="s">
        <v>417</v>
      </c>
      <c r="D127" s="329"/>
      <c r="E127" s="329"/>
      <c r="F127" s="329"/>
      <c r="G127" s="329"/>
      <c r="H127" s="395">
        <v>300</v>
      </c>
      <c r="I127" s="395">
        <v>300</v>
      </c>
      <c r="J127" s="279"/>
      <c r="K127" s="188" t="s">
        <v>179</v>
      </c>
    </row>
    <row r="128" spans="1:11" s="175" customFormat="1" ht="40.5" customHeight="1">
      <c r="A128" s="393" t="s">
        <v>4</v>
      </c>
      <c r="B128" s="400"/>
      <c r="C128" s="405" t="s">
        <v>424</v>
      </c>
      <c r="D128" s="329"/>
      <c r="E128" s="329"/>
      <c r="F128" s="329"/>
      <c r="G128" s="329"/>
      <c r="H128" s="395">
        <v>200</v>
      </c>
      <c r="I128" s="395">
        <v>200</v>
      </c>
      <c r="J128" s="279"/>
      <c r="K128" s="188" t="s">
        <v>179</v>
      </c>
    </row>
    <row r="129" spans="1:11" s="175" customFormat="1" ht="40.5" customHeight="1">
      <c r="A129" s="393" t="s">
        <v>5</v>
      </c>
      <c r="B129" s="400"/>
      <c r="C129" s="405" t="s">
        <v>431</v>
      </c>
      <c r="D129" s="329"/>
      <c r="E129" s="329"/>
      <c r="F129" s="329"/>
      <c r="G129" s="329"/>
      <c r="H129" s="395">
        <v>120</v>
      </c>
      <c r="I129" s="395">
        <v>120</v>
      </c>
      <c r="J129" s="279"/>
      <c r="K129" s="188" t="s">
        <v>179</v>
      </c>
    </row>
    <row r="130" spans="1:11" s="175" customFormat="1" ht="40.5" customHeight="1">
      <c r="A130" s="393" t="s">
        <v>6</v>
      </c>
      <c r="B130" s="400"/>
      <c r="C130" s="405" t="s">
        <v>443</v>
      </c>
      <c r="D130" s="329"/>
      <c r="E130" s="329"/>
      <c r="F130" s="329"/>
      <c r="G130" s="329"/>
      <c r="H130" s="395">
        <v>300</v>
      </c>
      <c r="I130" s="395">
        <v>300</v>
      </c>
      <c r="J130" s="279"/>
      <c r="K130" s="188" t="s">
        <v>179</v>
      </c>
    </row>
    <row r="131" spans="1:12" ht="30.75" customHeight="1">
      <c r="A131" s="1174" t="s">
        <v>192</v>
      </c>
      <c r="B131" s="1174"/>
      <c r="C131" s="1174"/>
      <c r="D131" s="401"/>
      <c r="E131" s="401"/>
      <c r="F131" s="401"/>
      <c r="G131" s="401">
        <f>+G124+G88+G85+G80+G73</f>
        <v>0</v>
      </c>
      <c r="H131" s="401">
        <f>+H124+H88+H85+H80+H73</f>
        <v>14000</v>
      </c>
      <c r="I131" s="401">
        <f>+I124+I88+I85+I80+I73</f>
        <v>14000</v>
      </c>
      <c r="J131" s="229"/>
      <c r="K131" s="237"/>
      <c r="L131" s="238"/>
    </row>
    <row r="132" spans="1:10" ht="39" customHeight="1">
      <c r="A132" s="249"/>
      <c r="B132" s="249"/>
      <c r="C132" s="250"/>
      <c r="D132" s="251"/>
      <c r="E132" s="251"/>
      <c r="F132" s="251"/>
      <c r="G132" s="251"/>
      <c r="H132" s="251"/>
      <c r="I132" s="251"/>
      <c r="J132" s="386"/>
    </row>
    <row r="133" spans="1:10" ht="51.75" customHeight="1">
      <c r="A133" s="1127" t="s">
        <v>200</v>
      </c>
      <c r="B133" s="1127"/>
      <c r="C133" s="1127"/>
      <c r="D133" s="1127"/>
      <c r="E133" s="1127"/>
      <c r="F133" s="1127"/>
      <c r="G133" s="1127"/>
      <c r="H133" s="1127"/>
      <c r="I133" s="1127"/>
      <c r="J133" s="1127"/>
    </row>
    <row r="134" spans="1:10" ht="33" customHeight="1">
      <c r="A134" s="386"/>
      <c r="B134" s="386"/>
      <c r="C134" s="386"/>
      <c r="D134" s="386"/>
      <c r="E134" s="386"/>
      <c r="F134" s="386"/>
      <c r="G134" s="386"/>
      <c r="H134" s="386"/>
      <c r="I134" s="386"/>
      <c r="J134" s="206"/>
    </row>
    <row r="135" spans="1:9" ht="30.75" customHeight="1">
      <c r="A135" s="1151" t="s">
        <v>201</v>
      </c>
      <c r="B135" s="1152"/>
      <c r="C135" s="1152"/>
      <c r="D135" s="1152"/>
      <c r="E135" s="1152"/>
      <c r="F135" s="1152"/>
      <c r="G135" s="1153"/>
      <c r="H135" s="385"/>
      <c r="I135" s="385"/>
    </row>
    <row r="136" spans="1:10" ht="41.25" customHeight="1">
      <c r="A136" s="1178" t="s">
        <v>19</v>
      </c>
      <c r="B136" s="258"/>
      <c r="C136" s="1203" t="s">
        <v>202</v>
      </c>
      <c r="D136" s="1206" t="s">
        <v>194</v>
      </c>
      <c r="E136" s="1207"/>
      <c r="F136" s="1207"/>
      <c r="G136" s="1208" t="s">
        <v>203</v>
      </c>
      <c r="H136" s="1208"/>
      <c r="I136" s="1208"/>
      <c r="J136" s="1135" t="s">
        <v>22</v>
      </c>
    </row>
    <row r="137" spans="1:10" ht="37.5">
      <c r="A137" s="1179"/>
      <c r="B137" s="258"/>
      <c r="C137" s="1204"/>
      <c r="D137" s="239" t="s">
        <v>322</v>
      </c>
      <c r="E137" s="239" t="s">
        <v>319</v>
      </c>
      <c r="F137" s="239" t="s">
        <v>497</v>
      </c>
      <c r="G137" s="239" t="s">
        <v>322</v>
      </c>
      <c r="H137" s="420" t="s">
        <v>319</v>
      </c>
      <c r="I137" s="239" t="s">
        <v>497</v>
      </c>
      <c r="J137" s="1136"/>
    </row>
    <row r="138" spans="1:10" ht="21" customHeight="1">
      <c r="A138" s="261" t="s">
        <v>1</v>
      </c>
      <c r="B138" s="261"/>
      <c r="C138" s="261" t="s">
        <v>204</v>
      </c>
      <c r="D138" s="261"/>
      <c r="E138" s="261"/>
      <c r="F138" s="261"/>
      <c r="G138" s="262"/>
      <c r="H138" s="327"/>
      <c r="I138" s="327">
        <v>1820</v>
      </c>
      <c r="J138" s="263"/>
    </row>
    <row r="139" spans="1:10" ht="21" customHeight="1">
      <c r="A139" s="261" t="s">
        <v>2</v>
      </c>
      <c r="B139" s="261"/>
      <c r="C139" s="261" t="s">
        <v>205</v>
      </c>
      <c r="D139" s="261"/>
      <c r="E139" s="261"/>
      <c r="F139" s="261"/>
      <c r="G139" s="262"/>
      <c r="H139" s="327"/>
      <c r="I139" s="327">
        <v>0</v>
      </c>
      <c r="J139" s="229"/>
    </row>
    <row r="140" spans="1:10" ht="21" customHeight="1">
      <c r="A140" s="264" t="s">
        <v>3</v>
      </c>
      <c r="B140" s="264"/>
      <c r="C140" s="264" t="s">
        <v>206</v>
      </c>
      <c r="D140" s="264"/>
      <c r="E140" s="264"/>
      <c r="F140" s="261"/>
      <c r="G140" s="262"/>
      <c r="H140" s="327"/>
      <c r="I140" s="327">
        <v>0</v>
      </c>
      <c r="J140" s="229"/>
    </row>
    <row r="141" spans="1:10" ht="21" customHeight="1">
      <c r="A141" s="1154" t="s">
        <v>207</v>
      </c>
      <c r="B141" s="1155"/>
      <c r="C141" s="1156"/>
      <c r="D141" s="265">
        <f aca="true" t="shared" si="0" ref="D141:I141">SUM(D138:D140)</f>
        <v>0</v>
      </c>
      <c r="E141" s="265">
        <f t="shared" si="0"/>
        <v>0</v>
      </c>
      <c r="F141" s="265">
        <f t="shared" si="0"/>
        <v>0</v>
      </c>
      <c r="G141" s="265">
        <f t="shared" si="0"/>
        <v>0</v>
      </c>
      <c r="H141" s="265">
        <f t="shared" si="0"/>
        <v>0</v>
      </c>
      <c r="I141" s="265">
        <f t="shared" si="0"/>
        <v>1820</v>
      </c>
      <c r="J141" s="229"/>
    </row>
    <row r="142" spans="1:10" ht="21" customHeight="1">
      <c r="A142" s="266"/>
      <c r="B142" s="266"/>
      <c r="C142" s="266"/>
      <c r="D142" s="267"/>
      <c r="E142" s="267"/>
      <c r="F142" s="267"/>
      <c r="G142" s="268"/>
      <c r="H142" s="315"/>
      <c r="I142" s="315"/>
      <c r="J142" s="206"/>
    </row>
    <row r="143" spans="1:10" ht="30.75" customHeight="1">
      <c r="A143" s="1150" t="s">
        <v>208</v>
      </c>
      <c r="B143" s="1153"/>
      <c r="C143" s="1153"/>
      <c r="D143" s="1153"/>
      <c r="E143" s="1153"/>
      <c r="F143" s="1153"/>
      <c r="G143" s="1153"/>
      <c r="H143" s="385"/>
      <c r="I143" s="385"/>
      <c r="J143" s="206"/>
    </row>
    <row r="144" spans="1:10" s="257" customFormat="1" ht="21" customHeight="1">
      <c r="A144" s="269"/>
      <c r="B144" s="269"/>
      <c r="C144" s="269"/>
      <c r="D144" s="269"/>
      <c r="E144" s="269"/>
      <c r="F144" s="269"/>
      <c r="G144" s="269"/>
      <c r="H144" s="269"/>
      <c r="I144" s="269"/>
      <c r="J144" s="206"/>
    </row>
    <row r="145" spans="1:9" ht="30.75" customHeight="1">
      <c r="A145" s="1161" t="s">
        <v>209</v>
      </c>
      <c r="B145" s="1162"/>
      <c r="C145" s="1162"/>
      <c r="D145" s="1162"/>
      <c r="E145" s="1162"/>
      <c r="F145" s="1162"/>
      <c r="G145" s="1162"/>
      <c r="H145" s="385"/>
      <c r="I145" s="385"/>
    </row>
    <row r="146" spans="1:10" ht="89.25" customHeight="1">
      <c r="A146" s="1137" t="s">
        <v>19</v>
      </c>
      <c r="B146" s="1141"/>
      <c r="C146" s="1139" t="s">
        <v>210</v>
      </c>
      <c r="D146" s="1143" t="s">
        <v>194</v>
      </c>
      <c r="E146" s="1144"/>
      <c r="F146" s="1145"/>
      <c r="G146" s="1146" t="s">
        <v>203</v>
      </c>
      <c r="H146" s="1147"/>
      <c r="I146" s="1148"/>
      <c r="J146" s="1135" t="s">
        <v>22</v>
      </c>
    </row>
    <row r="147" spans="1:10" ht="89.25" customHeight="1">
      <c r="A147" s="1138"/>
      <c r="B147" s="1142"/>
      <c r="C147" s="1140"/>
      <c r="D147" s="239" t="s">
        <v>322</v>
      </c>
      <c r="E147" s="239" t="s">
        <v>319</v>
      </c>
      <c r="F147" s="239" t="s">
        <v>497</v>
      </c>
      <c r="G147" s="239" t="s">
        <v>322</v>
      </c>
      <c r="H147" s="239" t="s">
        <v>319</v>
      </c>
      <c r="I147" s="239" t="s">
        <v>497</v>
      </c>
      <c r="J147" s="1136"/>
    </row>
    <row r="148" spans="1:10" ht="27" customHeight="1">
      <c r="A148" s="1163" t="s">
        <v>45</v>
      </c>
      <c r="B148" s="1164"/>
      <c r="C148" s="1164"/>
      <c r="D148" s="260"/>
      <c r="E148" s="260"/>
      <c r="F148" s="260"/>
      <c r="G148" s="270"/>
      <c r="H148" s="270"/>
      <c r="I148" s="270"/>
      <c r="J148" s="260"/>
    </row>
    <row r="149" spans="1:10" ht="23.25" customHeight="1">
      <c r="A149" s="271" t="s">
        <v>1</v>
      </c>
      <c r="B149" s="271"/>
      <c r="C149" s="271" t="s">
        <v>211</v>
      </c>
      <c r="D149" s="272"/>
      <c r="E149" s="272"/>
      <c r="F149" s="272"/>
      <c r="G149" s="272">
        <v>300</v>
      </c>
      <c r="H149" s="327">
        <f aca="true" t="shared" si="1" ref="H149:H155">SUM(G149:G149)</f>
        <v>300</v>
      </c>
      <c r="I149" s="327">
        <v>4851</v>
      </c>
      <c r="J149" s="263"/>
    </row>
    <row r="150" spans="1:10" ht="23.25" customHeight="1">
      <c r="A150" s="261" t="s">
        <v>2</v>
      </c>
      <c r="B150" s="261"/>
      <c r="C150" s="261" t="s">
        <v>212</v>
      </c>
      <c r="D150" s="262"/>
      <c r="E150" s="262"/>
      <c r="F150" s="262"/>
      <c r="G150" s="262">
        <v>18000</v>
      </c>
      <c r="H150" s="327">
        <f t="shared" si="1"/>
        <v>18000</v>
      </c>
      <c r="I150" s="327">
        <v>26721</v>
      </c>
      <c r="J150" s="229"/>
    </row>
    <row r="151" spans="1:10" ht="23.25" customHeight="1">
      <c r="A151" s="261" t="s">
        <v>3</v>
      </c>
      <c r="B151" s="261"/>
      <c r="C151" s="261" t="s">
        <v>213</v>
      </c>
      <c r="D151" s="262"/>
      <c r="E151" s="262"/>
      <c r="F151" s="262"/>
      <c r="G151" s="262">
        <v>2000</v>
      </c>
      <c r="H151" s="327">
        <f t="shared" si="1"/>
        <v>2000</v>
      </c>
      <c r="I151" s="327">
        <v>4661</v>
      </c>
      <c r="J151" s="229"/>
    </row>
    <row r="152" spans="1:10" ht="23.25" customHeight="1">
      <c r="A152" s="261" t="s">
        <v>4</v>
      </c>
      <c r="B152" s="261"/>
      <c r="C152" s="261" t="s">
        <v>214</v>
      </c>
      <c r="D152" s="262"/>
      <c r="E152" s="262"/>
      <c r="F152" s="262"/>
      <c r="G152" s="262">
        <v>100</v>
      </c>
      <c r="H152" s="327">
        <f t="shared" si="1"/>
        <v>100</v>
      </c>
      <c r="I152" s="327"/>
      <c r="J152" s="229"/>
    </row>
    <row r="153" spans="1:10" ht="23.25" customHeight="1">
      <c r="A153" s="261" t="s">
        <v>5</v>
      </c>
      <c r="B153" s="261"/>
      <c r="C153" s="261" t="s">
        <v>215</v>
      </c>
      <c r="D153" s="262"/>
      <c r="E153" s="262"/>
      <c r="F153" s="262"/>
      <c r="G153" s="262">
        <v>100</v>
      </c>
      <c r="H153" s="327">
        <f t="shared" si="1"/>
        <v>100</v>
      </c>
      <c r="I153" s="327">
        <v>863</v>
      </c>
      <c r="J153" s="273"/>
    </row>
    <row r="154" spans="1:10" ht="23.25" customHeight="1">
      <c r="A154" s="261" t="s">
        <v>6</v>
      </c>
      <c r="B154" s="261"/>
      <c r="C154" s="261" t="s">
        <v>216</v>
      </c>
      <c r="D154" s="262"/>
      <c r="E154" s="262"/>
      <c r="F154" s="262"/>
      <c r="G154" s="262">
        <v>2000</v>
      </c>
      <c r="H154" s="327">
        <f t="shared" si="1"/>
        <v>2000</v>
      </c>
      <c r="I154" s="327">
        <v>1000</v>
      </c>
      <c r="J154" s="273"/>
    </row>
    <row r="155" spans="1:10" ht="23.25" customHeight="1">
      <c r="A155" s="261" t="s">
        <v>7</v>
      </c>
      <c r="B155" s="261"/>
      <c r="C155" s="261" t="s">
        <v>217</v>
      </c>
      <c r="D155" s="262"/>
      <c r="E155" s="262"/>
      <c r="F155" s="262"/>
      <c r="G155" s="262">
        <v>600</v>
      </c>
      <c r="H155" s="327">
        <f t="shared" si="1"/>
        <v>600</v>
      </c>
      <c r="I155" s="327">
        <v>400</v>
      </c>
      <c r="J155" s="273"/>
    </row>
    <row r="156" spans="1:10" ht="27.75" customHeight="1">
      <c r="A156" s="1165" t="s">
        <v>207</v>
      </c>
      <c r="B156" s="1166"/>
      <c r="C156" s="1167"/>
      <c r="D156" s="274">
        <f>SUM(D149:D155)</f>
        <v>0</v>
      </c>
      <c r="E156" s="274"/>
      <c r="F156" s="274"/>
      <c r="G156" s="274">
        <f>SUM(G149:G155)</f>
        <v>23100</v>
      </c>
      <c r="H156" s="274">
        <f>SUM(H149:H155)</f>
        <v>23100</v>
      </c>
      <c r="I156" s="274">
        <f>SUM(I149:I155)</f>
        <v>38496</v>
      </c>
      <c r="J156" s="273"/>
    </row>
    <row r="157" spans="1:10" s="257" customFormat="1" ht="21" customHeight="1">
      <c r="A157" s="267"/>
      <c r="B157" s="267"/>
      <c r="C157" s="267"/>
      <c r="D157" s="267"/>
      <c r="E157" s="267"/>
      <c r="F157" s="267"/>
      <c r="G157" s="267"/>
      <c r="H157" s="269"/>
      <c r="I157" s="269"/>
      <c r="J157" s="206"/>
    </row>
    <row r="158" spans="1:9" ht="30.75" customHeight="1">
      <c r="A158" s="1150" t="s">
        <v>218</v>
      </c>
      <c r="B158" s="1150"/>
      <c r="C158" s="1150"/>
      <c r="D158" s="1150"/>
      <c r="E158" s="1150"/>
      <c r="F158" s="1150"/>
      <c r="G158" s="1150"/>
      <c r="H158" s="385"/>
      <c r="I158" s="385"/>
    </row>
    <row r="159" spans="1:10" ht="108.75" customHeight="1">
      <c r="A159" s="258" t="s">
        <v>19</v>
      </c>
      <c r="B159" s="258"/>
      <c r="C159" s="259" t="s">
        <v>210</v>
      </c>
      <c r="D159" s="1157" t="s">
        <v>194</v>
      </c>
      <c r="E159" s="1158"/>
      <c r="F159" s="1159"/>
      <c r="G159" s="1143" t="s">
        <v>203</v>
      </c>
      <c r="H159" s="1144"/>
      <c r="I159" s="1160"/>
      <c r="J159" s="260" t="s">
        <v>22</v>
      </c>
    </row>
    <row r="160" spans="1:10" s="175" customFormat="1" ht="31.5" customHeight="1">
      <c r="A160" s="275" t="s">
        <v>1</v>
      </c>
      <c r="B160" s="276"/>
      <c r="C160" s="277" t="s">
        <v>219</v>
      </c>
      <c r="D160" s="278">
        <v>0</v>
      </c>
      <c r="E160" s="328">
        <v>0</v>
      </c>
      <c r="F160" s="328">
        <v>0</v>
      </c>
      <c r="G160" s="329">
        <v>0</v>
      </c>
      <c r="H160" s="329">
        <v>0</v>
      </c>
      <c r="I160" s="329">
        <v>0</v>
      </c>
      <c r="J160" s="279"/>
    </row>
    <row r="161" spans="1:10" ht="27" customHeight="1">
      <c r="A161" s="280"/>
      <c r="B161" s="280"/>
      <c r="C161" s="281"/>
      <c r="D161" s="282"/>
      <c r="E161" s="282"/>
      <c r="F161" s="316"/>
      <c r="G161" s="316"/>
      <c r="H161" s="316"/>
      <c r="I161" s="316"/>
      <c r="J161" s="206"/>
    </row>
    <row r="162" spans="1:10" ht="27" customHeight="1">
      <c r="A162" s="1150" t="s">
        <v>220</v>
      </c>
      <c r="B162" s="1150"/>
      <c r="C162" s="1150"/>
      <c r="D162" s="1150"/>
      <c r="E162" s="1150"/>
      <c r="F162" s="1150"/>
      <c r="G162" s="1150"/>
      <c r="H162" s="385"/>
      <c r="I162" s="385"/>
      <c r="J162" s="283"/>
    </row>
    <row r="163" spans="1:9" ht="36" customHeight="1">
      <c r="A163" s="269"/>
      <c r="B163" s="283"/>
      <c r="C163" s="283"/>
      <c r="D163" s="283"/>
      <c r="E163" s="283"/>
      <c r="F163" s="283"/>
      <c r="G163" s="283"/>
      <c r="H163" s="283"/>
      <c r="I163" s="283"/>
    </row>
    <row r="165" spans="6:9" ht="21">
      <c r="F165" s="495">
        <f>+F131+F65+F54</f>
        <v>23455</v>
      </c>
      <c r="H165" s="415">
        <f>+H54+E54+E65+H131+'32.sz.mell. Műk. tám I.'!E17</f>
        <v>165707</v>
      </c>
      <c r="I165" s="495">
        <f>+I131+I65+I54+'32.sz.mell. Műk. tám I.'!F17</f>
        <v>134238</v>
      </c>
    </row>
    <row r="166" spans="6:9" ht="21">
      <c r="F166" s="175">
        <v>16688</v>
      </c>
      <c r="H166" s="175">
        <f>142213+23494</f>
        <v>165707</v>
      </c>
      <c r="I166" s="175">
        <v>119202</v>
      </c>
    </row>
    <row r="167" spans="6:9" ht="21">
      <c r="F167" s="495">
        <f>+F165-F166</f>
        <v>6767</v>
      </c>
      <c r="H167" s="415">
        <f>+H165-H166</f>
        <v>0</v>
      </c>
      <c r="I167" s="495">
        <f>+I165-I166</f>
        <v>15036</v>
      </c>
    </row>
    <row r="169" ht="21">
      <c r="C169" s="211"/>
    </row>
    <row r="170" ht="21">
      <c r="C170" s="211"/>
    </row>
    <row r="171" ht="21">
      <c r="C171" s="211"/>
    </row>
    <row r="172" ht="21">
      <c r="C172" s="211"/>
    </row>
    <row r="173" ht="21">
      <c r="C173" s="211"/>
    </row>
    <row r="174" ht="21">
      <c r="C174" s="212"/>
    </row>
  </sheetData>
  <sheetProtection/>
  <mergeCells count="70">
    <mergeCell ref="A88:B88"/>
    <mergeCell ref="A124:B124"/>
    <mergeCell ref="A60:C60"/>
    <mergeCell ref="B61:B64"/>
    <mergeCell ref="C136:C137"/>
    <mergeCell ref="D60:F60"/>
    <mergeCell ref="A72:K72"/>
    <mergeCell ref="J136:J137"/>
    <mergeCell ref="D136:F136"/>
    <mergeCell ref="G136:I136"/>
    <mergeCell ref="A73:B73"/>
    <mergeCell ref="A85:B85"/>
    <mergeCell ref="J4:K4"/>
    <mergeCell ref="A17:B17"/>
    <mergeCell ref="A5:A6"/>
    <mergeCell ref="B5:B6"/>
    <mergeCell ref="K5:K7"/>
    <mergeCell ref="J5:J7"/>
    <mergeCell ref="A8:B8"/>
    <mergeCell ref="C5:C6"/>
    <mergeCell ref="A1:K1"/>
    <mergeCell ref="A2:K2"/>
    <mergeCell ref="A3:K3"/>
    <mergeCell ref="K58:K59"/>
    <mergeCell ref="A7:C7"/>
    <mergeCell ref="J58:J59"/>
    <mergeCell ref="D5:F5"/>
    <mergeCell ref="G5:I5"/>
    <mergeCell ref="D7:F7"/>
    <mergeCell ref="D58:F58"/>
    <mergeCell ref="A158:G158"/>
    <mergeCell ref="A58:A59"/>
    <mergeCell ref="B58:B59"/>
    <mergeCell ref="C58:C59"/>
    <mergeCell ref="A131:C131"/>
    <mergeCell ref="A80:B80"/>
    <mergeCell ref="A68:C68"/>
    <mergeCell ref="A67:C67"/>
    <mergeCell ref="G60:I60"/>
    <mergeCell ref="A136:A137"/>
    <mergeCell ref="A162:G162"/>
    <mergeCell ref="A70:C70"/>
    <mergeCell ref="A135:G135"/>
    <mergeCell ref="A141:C141"/>
    <mergeCell ref="A143:G143"/>
    <mergeCell ref="D159:F159"/>
    <mergeCell ref="G159:I159"/>
    <mergeCell ref="A145:G145"/>
    <mergeCell ref="A148:C148"/>
    <mergeCell ref="A156:C156"/>
    <mergeCell ref="G7:I7"/>
    <mergeCell ref="J146:J147"/>
    <mergeCell ref="A146:A147"/>
    <mergeCell ref="C146:C147"/>
    <mergeCell ref="B146:B147"/>
    <mergeCell ref="D146:F146"/>
    <mergeCell ref="G146:I146"/>
    <mergeCell ref="A56:G56"/>
    <mergeCell ref="A19:B19"/>
    <mergeCell ref="A27:B27"/>
    <mergeCell ref="A133:J133"/>
    <mergeCell ref="A69:C69"/>
    <mergeCell ref="A25:B25"/>
    <mergeCell ref="A21:B21"/>
    <mergeCell ref="A23:B23"/>
    <mergeCell ref="A52:B52"/>
    <mergeCell ref="A44:B44"/>
    <mergeCell ref="A47:B47"/>
    <mergeCell ref="A54:C54"/>
    <mergeCell ref="G58:I5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2" r:id="rId1"/>
  <headerFooter alignWithMargins="0">
    <oddHeader>&amp;R&amp;A</oddHeader>
    <oddFooter>&amp;C&amp;P/&amp;N</oddFooter>
  </headerFooter>
  <rowBreaks count="2" manualBreakCount="2">
    <brk id="54" max="10" man="1"/>
    <brk id="11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76"/>
  <sheetViews>
    <sheetView view="pageBreakPreview" zoomScale="60" zoomScaleNormal="50" zoomScalePageLayoutView="0" workbookViewId="0" topLeftCell="A58">
      <selection activeCell="E41" sqref="E41"/>
    </sheetView>
  </sheetViews>
  <sheetFormatPr defaultColWidth="9.00390625" defaultRowHeight="29.25" customHeight="1"/>
  <cols>
    <col min="1" max="1" width="5.625" style="12" customWidth="1"/>
    <col min="2" max="2" width="11.125" style="12" customWidth="1"/>
    <col min="3" max="3" width="117.875" style="80" customWidth="1"/>
    <col min="4" max="5" width="22.25390625" style="32" customWidth="1"/>
    <col min="6" max="6" width="17.00390625" style="12" customWidth="1"/>
    <col min="7" max="7" width="19.875" style="12" customWidth="1"/>
    <col min="8" max="8" width="18.375" style="52" customWidth="1"/>
    <col min="9" max="9" width="13.875" style="12" customWidth="1"/>
    <col min="10" max="10" width="9.125" style="12" customWidth="1"/>
    <col min="11" max="11" width="20.125" style="12" customWidth="1"/>
    <col min="12" max="16384" width="9.125" style="12" customWidth="1"/>
  </cols>
  <sheetData>
    <row r="1" spans="1:8" s="10" customFormat="1" ht="34.5" customHeight="1">
      <c r="A1" s="1209" t="s">
        <v>16</v>
      </c>
      <c r="B1" s="1209"/>
      <c r="C1" s="1209"/>
      <c r="D1" s="1209"/>
      <c r="E1" s="1209"/>
      <c r="F1" s="1209"/>
      <c r="G1" s="1209"/>
      <c r="H1" s="1209"/>
    </row>
    <row r="2" spans="1:8" s="33" customFormat="1" ht="33" customHeight="1">
      <c r="A2" s="1209" t="s">
        <v>221</v>
      </c>
      <c r="B2" s="1209"/>
      <c r="C2" s="1209"/>
      <c r="D2" s="1209"/>
      <c r="E2" s="1209"/>
      <c r="F2" s="1209"/>
      <c r="G2" s="1209"/>
      <c r="H2" s="1209"/>
    </row>
    <row r="3" spans="1:8" s="33" customFormat="1" ht="29.25" customHeight="1">
      <c r="A3" s="1209" t="s">
        <v>551</v>
      </c>
      <c r="B3" s="1209"/>
      <c r="C3" s="1209"/>
      <c r="D3" s="1209"/>
      <c r="E3" s="1209"/>
      <c r="F3" s="1209"/>
      <c r="G3" s="1209"/>
      <c r="H3" s="1209"/>
    </row>
    <row r="4" spans="1:8" s="33" customFormat="1" ht="27" customHeight="1">
      <c r="A4" s="34"/>
      <c r="B4" s="34"/>
      <c r="C4" s="34"/>
      <c r="D4" s="34"/>
      <c r="E4" s="34"/>
      <c r="F4" s="34"/>
      <c r="G4" s="35" t="s">
        <v>18</v>
      </c>
      <c r="H4" s="32"/>
    </row>
    <row r="5" spans="1:8" s="33" customFormat="1" ht="30" customHeight="1">
      <c r="A5" s="1210" t="s">
        <v>67</v>
      </c>
      <c r="B5" s="1210" t="s">
        <v>68</v>
      </c>
      <c r="C5" s="1211" t="s">
        <v>21</v>
      </c>
      <c r="D5" s="1212" t="s">
        <v>320</v>
      </c>
      <c r="E5" s="1212"/>
      <c r="F5" s="1213" t="s">
        <v>222</v>
      </c>
      <c r="G5" s="1215" t="s">
        <v>223</v>
      </c>
      <c r="H5" s="1215" t="s">
        <v>288</v>
      </c>
    </row>
    <row r="6" spans="1:8" s="33" customFormat="1" ht="48.75" customHeight="1">
      <c r="A6" s="1210"/>
      <c r="B6" s="1210"/>
      <c r="C6" s="1211"/>
      <c r="D6" s="332" t="s">
        <v>322</v>
      </c>
      <c r="E6" s="332" t="s">
        <v>319</v>
      </c>
      <c r="F6" s="1214"/>
      <c r="G6" s="1216"/>
      <c r="H6" s="1216"/>
    </row>
    <row r="7" spans="1:8" s="33" customFormat="1" ht="59.25" customHeight="1">
      <c r="A7" s="1217" t="s">
        <v>224</v>
      </c>
      <c r="B7" s="1217"/>
      <c r="C7" s="1217"/>
      <c r="D7" s="1218"/>
      <c r="E7" s="1218"/>
      <c r="F7" s="1218"/>
      <c r="G7" s="1218"/>
      <c r="H7" s="32"/>
    </row>
    <row r="8" spans="1:14" s="33" customFormat="1" ht="54" customHeight="1">
      <c r="A8" s="1219" t="s">
        <v>225</v>
      </c>
      <c r="B8" s="1220"/>
      <c r="C8" s="1220"/>
      <c r="D8" s="1220"/>
      <c r="E8" s="1220"/>
      <c r="F8" s="1220"/>
      <c r="G8" s="1221"/>
      <c r="H8" s="32"/>
      <c r="N8" s="36"/>
    </row>
    <row r="9" spans="1:9" ht="68.25" customHeight="1">
      <c r="A9" s="535" t="s">
        <v>1</v>
      </c>
      <c r="B9" s="536"/>
      <c r="C9" s="37" t="s">
        <v>226</v>
      </c>
      <c r="D9" s="537">
        <v>25000</v>
      </c>
      <c r="E9" s="537">
        <f>SUM(D9:D9)-699-10148-2522-36-18-26-2540-7500-508+5000-5000-753</f>
        <v>250</v>
      </c>
      <c r="F9" s="538"/>
      <c r="G9" s="38" t="s">
        <v>227</v>
      </c>
      <c r="H9" s="39" t="s">
        <v>34</v>
      </c>
      <c r="I9" s="40"/>
    </row>
    <row r="10" spans="1:9" ht="60.75" customHeight="1">
      <c r="A10" s="539" t="s">
        <v>2</v>
      </c>
      <c r="B10" s="540"/>
      <c r="C10" s="41" t="s">
        <v>228</v>
      </c>
      <c r="D10" s="541">
        <v>5000</v>
      </c>
      <c r="E10" s="541">
        <f>SUM(D10:D10)-5000-5000+5000</f>
        <v>0</v>
      </c>
      <c r="F10" s="542"/>
      <c r="G10" s="42" t="s">
        <v>227</v>
      </c>
      <c r="H10" s="43" t="s">
        <v>34</v>
      </c>
      <c r="I10" s="40"/>
    </row>
    <row r="11" spans="1:9" ht="49.5" customHeight="1">
      <c r="A11" s="543" t="s">
        <v>3</v>
      </c>
      <c r="B11" s="544"/>
      <c r="C11" s="45" t="s">
        <v>229</v>
      </c>
      <c r="D11" s="545">
        <v>10208</v>
      </c>
      <c r="E11" s="545">
        <f>SUM(D11:D11)-1080-4000-3239</f>
        <v>1889</v>
      </c>
      <c r="F11" s="546"/>
      <c r="G11" s="358" t="s">
        <v>227</v>
      </c>
      <c r="H11" s="359" t="s">
        <v>34</v>
      </c>
      <c r="I11" s="40"/>
    </row>
    <row r="12" spans="1:9" ht="49.5" customHeight="1">
      <c r="A12" s="547" t="s">
        <v>4</v>
      </c>
      <c r="B12" s="548"/>
      <c r="C12" s="63" t="s">
        <v>358</v>
      </c>
      <c r="D12" s="549"/>
      <c r="E12" s="549">
        <f>5003+295433-119888-3701-2162-188-6560-26-617-15717-158+1+73-4445-1613-19426-250-200-30-1144-8757-1910+29647-49294</f>
        <v>94071</v>
      </c>
      <c r="F12" s="550"/>
      <c r="G12" s="362" t="s">
        <v>227</v>
      </c>
      <c r="H12" s="363" t="s">
        <v>34</v>
      </c>
      <c r="I12" s="40"/>
    </row>
    <row r="13" spans="1:9" ht="39" customHeight="1" thickBot="1">
      <c r="A13" s="1222" t="s">
        <v>230</v>
      </c>
      <c r="B13" s="1222"/>
      <c r="C13" s="1222"/>
      <c r="D13" s="360">
        <f>SUM(D9:D11)</f>
        <v>40208</v>
      </c>
      <c r="E13" s="360">
        <f>SUM(E9:E12)</f>
        <v>96210</v>
      </c>
      <c r="F13" s="360">
        <f>SUM(F9:F11)</f>
        <v>0</v>
      </c>
      <c r="G13" s="361"/>
      <c r="H13" s="361"/>
      <c r="I13" s="40"/>
    </row>
    <row r="14" spans="1:9" ht="39" customHeight="1">
      <c r="A14" s="48"/>
      <c r="B14" s="48"/>
      <c r="C14" s="48"/>
      <c r="D14" s="49"/>
      <c r="E14" s="49"/>
      <c r="F14" s="50"/>
      <c r="G14" s="51"/>
      <c r="I14" s="40"/>
    </row>
    <row r="15" spans="1:9" ht="44.25" customHeight="1">
      <c r="A15" s="1223" t="s">
        <v>231</v>
      </c>
      <c r="B15" s="1224"/>
      <c r="C15" s="1224"/>
      <c r="D15" s="1224"/>
      <c r="E15" s="1224"/>
      <c r="F15" s="1224"/>
      <c r="G15" s="1225"/>
      <c r="I15" s="40"/>
    </row>
    <row r="16" spans="1:9" ht="44.25" customHeight="1">
      <c r="A16" s="371" t="s">
        <v>1</v>
      </c>
      <c r="B16" s="374"/>
      <c r="C16" s="374" t="s">
        <v>366</v>
      </c>
      <c r="D16" s="374"/>
      <c r="E16" s="537">
        <v>663</v>
      </c>
      <c r="F16" s="374"/>
      <c r="G16" s="374" t="s">
        <v>227</v>
      </c>
      <c r="H16" s="369" t="s">
        <v>34</v>
      </c>
      <c r="I16" s="40"/>
    </row>
    <row r="17" spans="1:9" ht="44.25" customHeight="1">
      <c r="A17" s="372" t="s">
        <v>2</v>
      </c>
      <c r="B17" s="375"/>
      <c r="C17" s="375" t="s">
        <v>367</v>
      </c>
      <c r="D17" s="375"/>
      <c r="E17" s="541">
        <v>516</v>
      </c>
      <c r="F17" s="375"/>
      <c r="G17" s="375" t="s">
        <v>227</v>
      </c>
      <c r="H17" s="370" t="s">
        <v>34</v>
      </c>
      <c r="I17" s="40"/>
    </row>
    <row r="18" spans="1:9" ht="44.25" customHeight="1">
      <c r="A18" s="373" t="s">
        <v>3</v>
      </c>
      <c r="B18" s="376"/>
      <c r="C18" s="376" t="s">
        <v>368</v>
      </c>
      <c r="D18" s="376"/>
      <c r="E18" s="545">
        <v>2159</v>
      </c>
      <c r="F18" s="376"/>
      <c r="G18" s="376" t="s">
        <v>227</v>
      </c>
      <c r="H18" s="363" t="s">
        <v>34</v>
      </c>
      <c r="I18" s="40"/>
    </row>
    <row r="19" spans="1:9" ht="42" customHeight="1" thickBot="1">
      <c r="A19" s="1226" t="s">
        <v>232</v>
      </c>
      <c r="B19" s="1226"/>
      <c r="C19" s="1226"/>
      <c r="D19" s="46">
        <v>0</v>
      </c>
      <c r="E19" s="46">
        <f>SUM(E16:E18)</f>
        <v>3338</v>
      </c>
      <c r="F19" s="46">
        <v>0</v>
      </c>
      <c r="G19" s="47"/>
      <c r="H19" s="47"/>
      <c r="I19" s="40"/>
    </row>
    <row r="20" spans="1:9" ht="42" customHeight="1">
      <c r="A20" s="48"/>
      <c r="B20" s="48"/>
      <c r="C20" s="48"/>
      <c r="D20" s="49"/>
      <c r="E20" s="49"/>
      <c r="F20" s="53"/>
      <c r="G20" s="51"/>
      <c r="I20" s="40"/>
    </row>
    <row r="21" spans="1:9" ht="40.5" customHeight="1">
      <c r="A21" s="1219" t="s">
        <v>233</v>
      </c>
      <c r="B21" s="1220"/>
      <c r="C21" s="1220"/>
      <c r="D21" s="1220"/>
      <c r="E21" s="1220"/>
      <c r="F21" s="1220"/>
      <c r="G21" s="1221"/>
      <c r="I21" s="40"/>
    </row>
    <row r="22" spans="1:11" ht="38.25" customHeight="1" thickBot="1">
      <c r="A22" s="1226" t="s">
        <v>234</v>
      </c>
      <c r="B22" s="1226"/>
      <c r="C22" s="1226"/>
      <c r="D22" s="46">
        <v>0</v>
      </c>
      <c r="E22" s="46">
        <f>SUM(D22:D22)</f>
        <v>0</v>
      </c>
      <c r="F22" s="46">
        <v>0</v>
      </c>
      <c r="G22" s="47"/>
      <c r="H22" s="47"/>
      <c r="I22" s="40"/>
      <c r="K22" s="40"/>
    </row>
    <row r="23" spans="1:11" ht="38.25" customHeight="1">
      <c r="A23" s="54"/>
      <c r="B23" s="54"/>
      <c r="C23" s="54"/>
      <c r="D23" s="55"/>
      <c r="E23" s="55"/>
      <c r="F23" s="56"/>
      <c r="G23" s="57"/>
      <c r="I23" s="40"/>
      <c r="K23" s="40"/>
    </row>
    <row r="24" spans="1:9" ht="36.75" customHeight="1">
      <c r="A24" s="1219" t="s">
        <v>235</v>
      </c>
      <c r="B24" s="1220"/>
      <c r="C24" s="1220"/>
      <c r="D24" s="1220"/>
      <c r="E24" s="1220"/>
      <c r="F24" s="1220"/>
      <c r="G24" s="1221"/>
      <c r="I24" s="40"/>
    </row>
    <row r="25" spans="1:9" ht="52.5" customHeight="1">
      <c r="A25" s="535" t="s">
        <v>1</v>
      </c>
      <c r="B25" s="536"/>
      <c r="C25" s="37" t="s">
        <v>552</v>
      </c>
      <c r="D25" s="551">
        <v>10000</v>
      </c>
      <c r="E25" s="551">
        <f>SUM(D25:D25)+25000-3000-1100-25000-5371</f>
        <v>529</v>
      </c>
      <c r="F25" s="552"/>
      <c r="G25" s="38" t="s">
        <v>236</v>
      </c>
      <c r="H25" s="58" t="s">
        <v>34</v>
      </c>
      <c r="I25" s="40"/>
    </row>
    <row r="26" spans="1:11" ht="38.25" customHeight="1" thickBot="1">
      <c r="A26" s="1226" t="s">
        <v>237</v>
      </c>
      <c r="B26" s="1226"/>
      <c r="C26" s="1226"/>
      <c r="D26" s="46">
        <f>SUM(D25:D25)</f>
        <v>10000</v>
      </c>
      <c r="E26" s="46">
        <f>SUM(E25:E25)</f>
        <v>529</v>
      </c>
      <c r="F26" s="46">
        <f>SUM(F25:F25)</f>
        <v>0</v>
      </c>
      <c r="G26" s="47"/>
      <c r="H26" s="47"/>
      <c r="I26" s="40"/>
      <c r="K26" s="40"/>
    </row>
    <row r="27" spans="1:11" ht="38.25" customHeight="1">
      <c r="A27" s="54"/>
      <c r="B27" s="54"/>
      <c r="C27" s="54"/>
      <c r="D27" s="55"/>
      <c r="E27" s="59"/>
      <c r="F27" s="60"/>
      <c r="G27" s="61"/>
      <c r="I27" s="40"/>
      <c r="K27" s="40"/>
    </row>
    <row r="28" spans="1:9" ht="39.75" customHeight="1" thickBot="1">
      <c r="A28" s="444"/>
      <c r="B28" s="444"/>
      <c r="C28" s="444"/>
      <c r="D28" s="553"/>
      <c r="E28" s="553"/>
      <c r="F28" s="553"/>
      <c r="G28" s="51"/>
      <c r="I28" s="40"/>
    </row>
    <row r="29" spans="1:9" ht="52.5" customHeight="1" thickBot="1">
      <c r="A29" s="554"/>
      <c r="B29" s="554"/>
      <c r="C29" s="65" t="s">
        <v>238</v>
      </c>
      <c r="D29" s="555">
        <f>+D26+D22+D19+D13</f>
        <v>50208</v>
      </c>
      <c r="E29" s="556">
        <f>+E26+E22+E19+E13</f>
        <v>100077</v>
      </c>
      <c r="F29" s="557"/>
      <c r="G29" s="51"/>
      <c r="I29" s="40"/>
    </row>
    <row r="30" spans="1:9" ht="30.75" customHeight="1">
      <c r="A30" s="66"/>
      <c r="B30" s="66"/>
      <c r="C30" s="66"/>
      <c r="D30" s="553"/>
      <c r="E30" s="553"/>
      <c r="F30" s="553"/>
      <c r="G30" s="51"/>
      <c r="I30" s="40"/>
    </row>
    <row r="31" spans="1:8" s="33" customFormat="1" ht="44.25" customHeight="1">
      <c r="A31" s="1227" t="s">
        <v>239</v>
      </c>
      <c r="B31" s="1227"/>
      <c r="C31" s="1227"/>
      <c r="D31" s="32"/>
      <c r="E31" s="32"/>
      <c r="H31" s="32"/>
    </row>
    <row r="32" spans="1:9" s="76" customFormat="1" ht="42" customHeight="1">
      <c r="A32" s="1219" t="s">
        <v>240</v>
      </c>
      <c r="B32" s="1220"/>
      <c r="C32" s="1220"/>
      <c r="D32" s="1220"/>
      <c r="E32" s="1220"/>
      <c r="F32" s="1220"/>
      <c r="G32" s="1221"/>
      <c r="H32" s="74"/>
      <c r="I32" s="75"/>
    </row>
    <row r="33" spans="1:9" ht="48.75" customHeight="1">
      <c r="A33" s="558" t="s">
        <v>1</v>
      </c>
      <c r="B33" s="536"/>
      <c r="C33" s="37" t="s">
        <v>241</v>
      </c>
      <c r="D33" s="537">
        <v>15500</v>
      </c>
      <c r="E33" s="537">
        <f>SUM(D33:D33)-14000-330-150-150</f>
        <v>870</v>
      </c>
      <c r="F33" s="559"/>
      <c r="G33" s="38" t="s">
        <v>236</v>
      </c>
      <c r="H33" s="58" t="s">
        <v>34</v>
      </c>
      <c r="I33" s="40"/>
    </row>
    <row r="34" spans="1:9" ht="48.75" customHeight="1">
      <c r="A34" s="560" t="s">
        <v>2</v>
      </c>
      <c r="B34" s="561"/>
      <c r="C34" s="41" t="s">
        <v>289</v>
      </c>
      <c r="D34" s="562">
        <v>500</v>
      </c>
      <c r="E34" s="562">
        <f>SUM(D34:D34)-100-100-150-100-50</f>
        <v>0</v>
      </c>
      <c r="F34" s="563"/>
      <c r="G34" s="77" t="s">
        <v>243</v>
      </c>
      <c r="H34" s="153" t="s">
        <v>34</v>
      </c>
      <c r="I34" s="40"/>
    </row>
    <row r="35" spans="1:9" ht="43.5" customHeight="1">
      <c r="A35" s="564" t="s">
        <v>3</v>
      </c>
      <c r="B35" s="540"/>
      <c r="C35" s="44" t="s">
        <v>242</v>
      </c>
      <c r="D35" s="541">
        <v>500</v>
      </c>
      <c r="E35" s="562">
        <f>SUM(D35:D35)-200-200-100</f>
        <v>0</v>
      </c>
      <c r="F35" s="565"/>
      <c r="G35" s="38" t="s">
        <v>236</v>
      </c>
      <c r="H35" s="78" t="s">
        <v>34</v>
      </c>
      <c r="I35" s="40"/>
    </row>
    <row r="36" spans="1:9" ht="43.5" customHeight="1">
      <c r="A36" s="564" t="s">
        <v>4</v>
      </c>
      <c r="B36" s="540"/>
      <c r="C36" s="41" t="s">
        <v>244</v>
      </c>
      <c r="D36" s="541">
        <v>500</v>
      </c>
      <c r="E36" s="541">
        <f>SUM(D36:D36)-50-300</f>
        <v>150</v>
      </c>
      <c r="F36" s="565"/>
      <c r="G36" s="77" t="s">
        <v>243</v>
      </c>
      <c r="H36" s="78" t="s">
        <v>34</v>
      </c>
      <c r="I36" s="40"/>
    </row>
    <row r="37" spans="1:9" ht="33" customHeight="1">
      <c r="A37" s="1228" t="s">
        <v>245</v>
      </c>
      <c r="B37" s="1228"/>
      <c r="C37" s="1228"/>
      <c r="D37" s="566">
        <f>SUM(D33:D36)</f>
        <v>17000</v>
      </c>
      <c r="E37" s="566">
        <f>SUM(E33:E36)</f>
        <v>1020</v>
      </c>
      <c r="F37" s="567">
        <f>SUM(F33:F33)</f>
        <v>0</v>
      </c>
      <c r="G37" s="79"/>
      <c r="H37" s="64"/>
      <c r="I37" s="40"/>
    </row>
    <row r="38" ht="20.25" customHeight="1"/>
    <row r="39" spans="1:9" ht="36.75" customHeight="1">
      <c r="A39" s="1223" t="s">
        <v>246</v>
      </c>
      <c r="B39" s="1224"/>
      <c r="C39" s="1224"/>
      <c r="D39" s="1224"/>
      <c r="E39" s="1224"/>
      <c r="F39" s="1224"/>
      <c r="G39" s="1225"/>
      <c r="I39" s="40"/>
    </row>
    <row r="40" spans="1:9" ht="44.25" customHeight="1">
      <c r="A40" s="568" t="s">
        <v>1</v>
      </c>
      <c r="B40" s="569"/>
      <c r="C40" s="81" t="s">
        <v>338</v>
      </c>
      <c r="D40" s="570">
        <v>15000</v>
      </c>
      <c r="E40" s="570">
        <v>2159</v>
      </c>
      <c r="F40" s="571"/>
      <c r="G40" s="82" t="s">
        <v>227</v>
      </c>
      <c r="H40" s="58" t="s">
        <v>34</v>
      </c>
      <c r="I40" s="40"/>
    </row>
    <row r="41" spans="1:9" s="85" customFormat="1" ht="48.75" customHeight="1">
      <c r="A41" s="572" t="s">
        <v>2</v>
      </c>
      <c r="B41" s="573"/>
      <c r="C41" s="41" t="s">
        <v>339</v>
      </c>
      <c r="D41" s="541">
        <v>10000</v>
      </c>
      <c r="E41" s="541">
        <f>SUM(D41:D41)-3500-4500-2000</f>
        <v>0</v>
      </c>
      <c r="F41" s="574"/>
      <c r="G41" s="83" t="s">
        <v>227</v>
      </c>
      <c r="H41" s="78" t="s">
        <v>247</v>
      </c>
      <c r="I41" s="84"/>
    </row>
    <row r="42" spans="1:9" s="85" customFormat="1" ht="43.5" customHeight="1">
      <c r="A42" s="564" t="s">
        <v>3</v>
      </c>
      <c r="B42" s="575"/>
      <c r="C42" s="45" t="s">
        <v>248</v>
      </c>
      <c r="D42" s="545">
        <v>8000</v>
      </c>
      <c r="E42" s="545">
        <f>8000-1001+1500-8499</f>
        <v>0</v>
      </c>
      <c r="F42" s="576"/>
      <c r="G42" s="83" t="s">
        <v>227</v>
      </c>
      <c r="H42" s="86" t="s">
        <v>34</v>
      </c>
      <c r="I42" s="84"/>
    </row>
    <row r="43" spans="1:9" s="85" customFormat="1" ht="43.5" customHeight="1">
      <c r="A43" s="564" t="s">
        <v>4</v>
      </c>
      <c r="B43" s="575"/>
      <c r="C43" s="45" t="s">
        <v>382</v>
      </c>
      <c r="D43" s="545"/>
      <c r="E43" s="545">
        <f>470339+1+170+12717+395+205-22542-144430-19806+3916+64889</f>
        <v>365854</v>
      </c>
      <c r="F43" s="576"/>
      <c r="G43" s="99" t="s">
        <v>227</v>
      </c>
      <c r="H43" s="86" t="s">
        <v>34</v>
      </c>
      <c r="I43" s="84"/>
    </row>
    <row r="44" spans="1:9" ht="43.5" customHeight="1">
      <c r="A44" s="572" t="s">
        <v>5</v>
      </c>
      <c r="B44" s="577"/>
      <c r="C44" s="63" t="s">
        <v>337</v>
      </c>
      <c r="D44" s="549">
        <v>10000</v>
      </c>
      <c r="E44" s="549">
        <f>+D44+867+403+836+111-2329+2615+732+42+145+5236+78+6-802-2417-5000-8215-659-100</f>
        <v>1549</v>
      </c>
      <c r="F44" s="578"/>
      <c r="G44" s="87" t="s">
        <v>227</v>
      </c>
      <c r="H44" s="88" t="s">
        <v>34</v>
      </c>
      <c r="I44" s="40"/>
    </row>
    <row r="45" spans="1:9" ht="33" customHeight="1">
      <c r="A45" s="1229" t="s">
        <v>249</v>
      </c>
      <c r="B45" s="1230"/>
      <c r="C45" s="1230"/>
      <c r="D45" s="579">
        <f>SUM(D40:D44)</f>
        <v>43000</v>
      </c>
      <c r="E45" s="579">
        <f>SUM(E40:E44)</f>
        <v>369562</v>
      </c>
      <c r="F45" s="580">
        <f>SUM(F39:F39)</f>
        <v>0</v>
      </c>
      <c r="G45" s="89"/>
      <c r="H45" s="64"/>
      <c r="I45" s="40"/>
    </row>
    <row r="46" ht="20.25" customHeight="1"/>
    <row r="47" spans="1:9" ht="40.5" customHeight="1">
      <c r="A47" s="1223" t="s">
        <v>233</v>
      </c>
      <c r="B47" s="1224"/>
      <c r="C47" s="1224"/>
      <c r="D47" s="1224"/>
      <c r="E47" s="1224"/>
      <c r="F47" s="1224"/>
      <c r="G47" s="1225"/>
      <c r="I47" s="40"/>
    </row>
    <row r="48" spans="1:9" ht="43.5" customHeight="1">
      <c r="A48" s="581" t="s">
        <v>1</v>
      </c>
      <c r="B48" s="582"/>
      <c r="C48" s="90" t="s">
        <v>250</v>
      </c>
      <c r="D48" s="583">
        <f>635+635</f>
        <v>1270</v>
      </c>
      <c r="E48" s="583">
        <f aca="true" t="shared" si="0" ref="E48:E55">SUM(D48:D48)</f>
        <v>1270</v>
      </c>
      <c r="F48" s="584"/>
      <c r="G48" s="91" t="s">
        <v>236</v>
      </c>
      <c r="H48" s="58" t="s">
        <v>34</v>
      </c>
      <c r="I48" s="40"/>
    </row>
    <row r="49" spans="1:9" s="85" customFormat="1" ht="43.5" customHeight="1">
      <c r="A49" s="585" t="s">
        <v>2</v>
      </c>
      <c r="B49" s="586"/>
      <c r="C49" s="92" t="s">
        <v>251</v>
      </c>
      <c r="D49" s="541">
        <f>3000-1000</f>
        <v>2000</v>
      </c>
      <c r="E49" s="541">
        <f t="shared" si="0"/>
        <v>2000</v>
      </c>
      <c r="F49" s="574"/>
      <c r="G49" s="83" t="s">
        <v>227</v>
      </c>
      <c r="H49" s="78" t="s">
        <v>34</v>
      </c>
      <c r="I49" s="84"/>
    </row>
    <row r="50" spans="1:9" ht="53.25" customHeight="1">
      <c r="A50" s="572" t="s">
        <v>3</v>
      </c>
      <c r="B50" s="587"/>
      <c r="C50" s="93" t="s">
        <v>317</v>
      </c>
      <c r="D50" s="541">
        <v>60000</v>
      </c>
      <c r="E50" s="541">
        <f>SUM(D50:D50)-250-2439-1950-5624-1004-741-519-519-864-543-1169-3795-1689-1139+2500+1000-1274-2344-127-152-404-858-604-699-461-881-700-102-394-707-543-254-158-1119-170-635-3084-1905-1025-3244-220-338-3094-170-655-1500-448-5473-542-445-540-1501-127-102-3925</f>
        <v>331</v>
      </c>
      <c r="F50" s="588"/>
      <c r="G50" s="83" t="s">
        <v>227</v>
      </c>
      <c r="H50" s="78" t="s">
        <v>34</v>
      </c>
      <c r="I50" s="40"/>
    </row>
    <row r="51" spans="1:9" ht="43.5" customHeight="1">
      <c r="A51" s="585" t="s">
        <v>4</v>
      </c>
      <c r="B51" s="587"/>
      <c r="C51" s="44" t="s">
        <v>252</v>
      </c>
      <c r="D51" s="541">
        <v>1500</v>
      </c>
      <c r="E51" s="541">
        <f t="shared" si="0"/>
        <v>1500</v>
      </c>
      <c r="F51" s="574"/>
      <c r="G51" s="83" t="s">
        <v>227</v>
      </c>
      <c r="H51" s="78" t="s">
        <v>34</v>
      </c>
      <c r="I51" s="40"/>
    </row>
    <row r="52" spans="1:9" ht="56.25">
      <c r="A52" s="572" t="s">
        <v>5</v>
      </c>
      <c r="B52" s="589"/>
      <c r="C52" s="94" t="s">
        <v>253</v>
      </c>
      <c r="D52" s="541">
        <v>500</v>
      </c>
      <c r="E52" s="541">
        <f>SUM(D52:D52)-500</f>
        <v>0</v>
      </c>
      <c r="F52" s="574"/>
      <c r="G52" s="95" t="s">
        <v>243</v>
      </c>
      <c r="H52" s="78" t="s">
        <v>34</v>
      </c>
      <c r="I52" s="40"/>
    </row>
    <row r="53" spans="1:9" ht="53.25" customHeight="1">
      <c r="A53" s="585" t="s">
        <v>6</v>
      </c>
      <c r="B53" s="589"/>
      <c r="C53" s="96" t="s">
        <v>254</v>
      </c>
      <c r="D53" s="541">
        <v>1500</v>
      </c>
      <c r="E53" s="541">
        <f>-450+450</f>
        <v>0</v>
      </c>
      <c r="F53" s="574"/>
      <c r="G53" s="95" t="s">
        <v>243</v>
      </c>
      <c r="H53" s="78" t="s">
        <v>34</v>
      </c>
      <c r="I53" s="40"/>
    </row>
    <row r="54" spans="1:9" ht="53.25" customHeight="1">
      <c r="A54" s="572" t="s">
        <v>7</v>
      </c>
      <c r="B54" s="590"/>
      <c r="C54" s="97" t="s">
        <v>255</v>
      </c>
      <c r="D54" s="545">
        <v>2000</v>
      </c>
      <c r="E54" s="541">
        <f>+D54</f>
        <v>2000</v>
      </c>
      <c r="F54" s="576"/>
      <c r="G54" s="98" t="s">
        <v>227</v>
      </c>
      <c r="H54" s="86" t="s">
        <v>34</v>
      </c>
      <c r="I54" s="40"/>
    </row>
    <row r="55" spans="1:9" ht="43.5" customHeight="1">
      <c r="A55" s="591" t="s">
        <v>8</v>
      </c>
      <c r="B55" s="590"/>
      <c r="C55" s="97" t="s">
        <v>256</v>
      </c>
      <c r="D55" s="545">
        <v>3000</v>
      </c>
      <c r="E55" s="545">
        <f t="shared" si="0"/>
        <v>3000</v>
      </c>
      <c r="F55" s="576"/>
      <c r="G55" s="99" t="s">
        <v>227</v>
      </c>
      <c r="H55" s="88" t="s">
        <v>34</v>
      </c>
      <c r="I55" s="40"/>
    </row>
    <row r="56" spans="1:9" ht="43.5" customHeight="1">
      <c r="A56" s="592" t="s">
        <v>9</v>
      </c>
      <c r="B56" s="593"/>
      <c r="C56" s="367" t="s">
        <v>364</v>
      </c>
      <c r="D56" s="594"/>
      <c r="E56" s="594">
        <v>6</v>
      </c>
      <c r="F56" s="595"/>
      <c r="G56" s="368" t="s">
        <v>227</v>
      </c>
      <c r="H56" s="364" t="s">
        <v>34</v>
      </c>
      <c r="I56" s="40"/>
    </row>
    <row r="57" spans="1:9" ht="43.5" customHeight="1">
      <c r="A57" s="592" t="s">
        <v>10</v>
      </c>
      <c r="B57" s="593"/>
      <c r="C57" s="367" t="s">
        <v>365</v>
      </c>
      <c r="D57" s="594"/>
      <c r="E57" s="594">
        <f>727-636-91</f>
        <v>0</v>
      </c>
      <c r="F57" s="595"/>
      <c r="G57" s="368" t="s">
        <v>227</v>
      </c>
      <c r="H57" s="364" t="s">
        <v>34</v>
      </c>
      <c r="I57" s="40"/>
    </row>
    <row r="58" spans="1:9" ht="43.5" customHeight="1">
      <c r="A58" s="596" t="s">
        <v>11</v>
      </c>
      <c r="B58" s="597"/>
      <c r="C58" s="365" t="s">
        <v>359</v>
      </c>
      <c r="D58" s="598"/>
      <c r="E58" s="598">
        <v>11589</v>
      </c>
      <c r="F58" s="599"/>
      <c r="G58" s="366" t="s">
        <v>227</v>
      </c>
      <c r="H58" s="364" t="s">
        <v>34</v>
      </c>
      <c r="I58" s="40"/>
    </row>
    <row r="59" spans="1:11" ht="38.25" customHeight="1">
      <c r="A59" s="1231" t="s">
        <v>234</v>
      </c>
      <c r="B59" s="1232"/>
      <c r="C59" s="1232"/>
      <c r="D59" s="100">
        <f>SUM(D48:D55)</f>
        <v>71770</v>
      </c>
      <c r="E59" s="100">
        <f>SUM(E48:E58)</f>
        <v>21696</v>
      </c>
      <c r="F59" s="100">
        <f>SUM(F48:F55)</f>
        <v>0</v>
      </c>
      <c r="G59" s="89"/>
      <c r="H59" s="64"/>
      <c r="I59" s="40"/>
      <c r="K59" s="40"/>
    </row>
    <row r="60" ht="21.75" customHeight="1"/>
    <row r="61" spans="1:9" ht="40.5" customHeight="1">
      <c r="A61" s="1223" t="s">
        <v>257</v>
      </c>
      <c r="B61" s="1224"/>
      <c r="C61" s="1224"/>
      <c r="D61" s="1224"/>
      <c r="E61" s="1224"/>
      <c r="F61" s="1224"/>
      <c r="G61" s="1225"/>
      <c r="I61" s="40"/>
    </row>
    <row r="62" spans="1:9" ht="42.75" customHeight="1">
      <c r="A62" s="101" t="s">
        <v>1</v>
      </c>
      <c r="B62" s="102"/>
      <c r="C62" s="103" t="s">
        <v>336</v>
      </c>
      <c r="D62" s="600">
        <v>12000</v>
      </c>
      <c r="E62" s="600">
        <f>SUM(D62:D62)+835-1270+589+722+2020-2395-1372-7000</f>
        <v>4129</v>
      </c>
      <c r="F62" s="601"/>
      <c r="G62" s="82" t="s">
        <v>236</v>
      </c>
      <c r="H62" s="58" t="s">
        <v>34</v>
      </c>
      <c r="I62" s="40"/>
    </row>
    <row r="63" spans="1:9" ht="42.75" customHeight="1">
      <c r="A63" s="104" t="s">
        <v>2</v>
      </c>
      <c r="B63" s="62"/>
      <c r="C63" s="63" t="s">
        <v>258</v>
      </c>
      <c r="D63" s="549">
        <v>5000</v>
      </c>
      <c r="E63" s="549">
        <f>SUM(D63:D63)-42-180-79-8-177-122-71-150-500-200-350-300-100-600-100-85-180-800-958+958-451-50-65</f>
        <v>390</v>
      </c>
      <c r="F63" s="578"/>
      <c r="G63" s="87" t="s">
        <v>227</v>
      </c>
      <c r="H63" s="88" t="s">
        <v>34</v>
      </c>
      <c r="I63" s="40"/>
    </row>
    <row r="64" spans="1:9" ht="41.25" customHeight="1">
      <c r="A64" s="1233" t="s">
        <v>259</v>
      </c>
      <c r="B64" s="1234"/>
      <c r="C64" s="1234"/>
      <c r="D64" s="105">
        <f>SUM(D62:D63)</f>
        <v>17000</v>
      </c>
      <c r="E64" s="105">
        <f>SUM(E62:E63)</f>
        <v>4519</v>
      </c>
      <c r="F64" s="106">
        <f>SUM(F62:F63)</f>
        <v>0</v>
      </c>
      <c r="G64" s="107"/>
      <c r="H64" s="64"/>
      <c r="I64" s="40"/>
    </row>
    <row r="65" spans="1:9" ht="29.25" customHeight="1" thickBot="1">
      <c r="A65" s="1235"/>
      <c r="B65" s="1235"/>
      <c r="C65" s="1235"/>
      <c r="D65" s="108"/>
      <c r="E65" s="108"/>
      <c r="F65" s="109"/>
      <c r="G65" s="109"/>
      <c r="I65" s="40"/>
    </row>
    <row r="66" spans="1:9" ht="52.5" customHeight="1" thickBot="1">
      <c r="A66" s="554"/>
      <c r="B66" s="554"/>
      <c r="C66" s="65" t="s">
        <v>260</v>
      </c>
      <c r="D66" s="555">
        <f>+D64+D59+D45+D37</f>
        <v>148770</v>
      </c>
      <c r="E66" s="556">
        <f>+E64+E59+E45+E37</f>
        <v>396797</v>
      </c>
      <c r="F66" s="557"/>
      <c r="G66" s="51"/>
      <c r="I66" s="40"/>
    </row>
    <row r="67" ht="29.25" customHeight="1">
      <c r="B67" s="602" t="s">
        <v>335</v>
      </c>
    </row>
    <row r="68" spans="1:10" s="30" customFormat="1" ht="37.5" customHeight="1" hidden="1">
      <c r="A68" s="1236" t="s">
        <v>141</v>
      </c>
      <c r="B68" s="1237"/>
      <c r="C68" s="1237"/>
      <c r="D68" s="67" t="e">
        <f>+D40+D44+D48+#REF!+#REF!+D50+D55+D62+D63</f>
        <v>#REF!</v>
      </c>
      <c r="E68" s="330"/>
      <c r="F68" s="68"/>
      <c r="G68" s="69"/>
      <c r="H68" s="70"/>
      <c r="I68" s="31"/>
      <c r="J68" s="31"/>
    </row>
    <row r="69" spans="1:10" s="30" customFormat="1" ht="37.5" customHeight="1" hidden="1">
      <c r="A69" s="1238" t="s">
        <v>142</v>
      </c>
      <c r="B69" s="1239"/>
      <c r="C69" s="1239"/>
      <c r="D69" s="71" t="e">
        <f>+D33+D35+D36+#REF!+D41+D49+D51+#REF!+D52+D53+#REF!</f>
        <v>#REF!</v>
      </c>
      <c r="E69" s="330"/>
      <c r="F69" s="68"/>
      <c r="G69" s="69"/>
      <c r="H69" s="603"/>
      <c r="I69" s="31"/>
      <c r="J69" s="31"/>
    </row>
    <row r="70" spans="1:10" s="30" customFormat="1" ht="37.5" customHeight="1" hidden="1">
      <c r="A70" s="1240" t="s">
        <v>143</v>
      </c>
      <c r="B70" s="1241"/>
      <c r="C70" s="1241"/>
      <c r="D70" s="72"/>
      <c r="E70" s="69"/>
      <c r="F70" s="68"/>
      <c r="G70" s="69"/>
      <c r="H70" s="603"/>
      <c r="I70" s="31"/>
      <c r="J70" s="31"/>
    </row>
    <row r="71" spans="1:10" s="30" customFormat="1" ht="37.5" customHeight="1" hidden="1">
      <c r="A71" s="1242" t="s">
        <v>27</v>
      </c>
      <c r="B71" s="1243"/>
      <c r="C71" s="1243"/>
      <c r="D71" s="73" t="e">
        <f>SUM(D68:D70)</f>
        <v>#REF!</v>
      </c>
      <c r="E71" s="331"/>
      <c r="F71" s="68"/>
      <c r="G71" s="69"/>
      <c r="H71" s="70"/>
      <c r="I71" s="31"/>
      <c r="J71" s="31"/>
    </row>
    <row r="74" ht="29.25" customHeight="1">
      <c r="E74" s="387">
        <f>+E66+E29</f>
        <v>496874</v>
      </c>
    </row>
    <row r="76" ht="29.25" customHeight="1">
      <c r="E76" s="387"/>
    </row>
  </sheetData>
  <sheetProtection/>
  <mergeCells count="34">
    <mergeCell ref="A64:C64"/>
    <mergeCell ref="A65:C65"/>
    <mergeCell ref="A68:C68"/>
    <mergeCell ref="A69:C69"/>
    <mergeCell ref="A70:C70"/>
    <mergeCell ref="A71:C71"/>
    <mergeCell ref="A37:C37"/>
    <mergeCell ref="A39:G39"/>
    <mergeCell ref="A45:C45"/>
    <mergeCell ref="A47:G47"/>
    <mergeCell ref="A59:C59"/>
    <mergeCell ref="A61:G61"/>
    <mergeCell ref="A21:G21"/>
    <mergeCell ref="A22:C22"/>
    <mergeCell ref="A24:G24"/>
    <mergeCell ref="A26:C26"/>
    <mergeCell ref="A31:C31"/>
    <mergeCell ref="A32:G32"/>
    <mergeCell ref="A7:C7"/>
    <mergeCell ref="D7:G7"/>
    <mergeCell ref="A8:G8"/>
    <mergeCell ref="A13:C13"/>
    <mergeCell ref="A15:G15"/>
    <mergeCell ref="A19:C19"/>
    <mergeCell ref="A1:H1"/>
    <mergeCell ref="A2:H2"/>
    <mergeCell ref="A3:H3"/>
    <mergeCell ref="A5:A6"/>
    <mergeCell ref="B5:B6"/>
    <mergeCell ref="C5:C6"/>
    <mergeCell ref="D5:E5"/>
    <mergeCell ref="F5:F6"/>
    <mergeCell ref="G5:G6"/>
    <mergeCell ref="H5:H6"/>
  </mergeCells>
  <printOptions horizontalCentered="1" verticalCentered="1"/>
  <pageMargins left="0.7086614173228347" right="0.7086614173228347" top="0.31496062992125984" bottom="0.3937007874015748" header="0.15748031496062992" footer="0.1968503937007874"/>
  <pageSetup horizontalDpi="600" verticalDpi="600" orientation="portrait" paperSize="9" scale="38" r:id="rId1"/>
  <headerFooter>
    <oddHeader>&amp;R&amp;A</oddHeader>
    <oddFooter>&amp;C&amp;12&amp;P/&amp;N</oddFooter>
  </headerFooter>
  <rowBreaks count="2" manualBreakCount="2">
    <brk id="29" max="255" man="1"/>
    <brk id="6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G24"/>
  <sheetViews>
    <sheetView view="pageBreakPreview" zoomScale="50" zoomScaleNormal="60" zoomScaleSheetLayoutView="50" zoomScalePageLayoutView="0" workbookViewId="0" topLeftCell="A6">
      <selection activeCell="H11" sqref="H11"/>
    </sheetView>
  </sheetViews>
  <sheetFormatPr defaultColWidth="9.00390625" defaultRowHeight="12.75"/>
  <cols>
    <col min="1" max="1" width="6.875" style="10" customWidth="1"/>
    <col min="2" max="2" width="8.375" style="10" customWidth="1"/>
    <col min="3" max="3" width="69.625" style="10" customWidth="1"/>
    <col min="4" max="18" width="16.875" style="10" customWidth="1"/>
    <col min="19" max="19" width="16.875" style="15" customWidth="1"/>
    <col min="20" max="20" width="17.875" style="10" bestFit="1" customWidth="1"/>
    <col min="21" max="21" width="31.75390625" style="10" customWidth="1"/>
    <col min="22" max="222" width="9.125" style="10" customWidth="1"/>
    <col min="223" max="223" width="6.875" style="10" customWidth="1"/>
    <col min="224" max="224" width="21.875" style="10" customWidth="1"/>
    <col min="225" max="225" width="121.625" style="10" customWidth="1"/>
    <col min="226" max="226" width="25.375" style="10" customWidth="1"/>
    <col min="227" max="227" width="21.875" style="10" customWidth="1"/>
    <col min="228" max="228" width="22.00390625" style="10" customWidth="1"/>
    <col min="229" max="229" width="17.75390625" style="10" bestFit="1" customWidth="1"/>
    <col min="230" max="16384" width="9.125" style="10" customWidth="1"/>
  </cols>
  <sheetData>
    <row r="1" spans="1:19" ht="34.5" customHeight="1">
      <c r="A1" s="1209" t="s">
        <v>16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</row>
    <row r="2" spans="1:241" ht="34.5" customHeight="1">
      <c r="A2" s="1209" t="s">
        <v>30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  <c r="V2" s="1209"/>
      <c r="W2" s="1209"/>
      <c r="X2" s="1209"/>
      <c r="Y2" s="1209"/>
      <c r="Z2" s="1209"/>
      <c r="AA2" s="1209"/>
      <c r="AB2" s="1209"/>
      <c r="AC2" s="1209"/>
      <c r="AD2" s="1209"/>
      <c r="AE2" s="1209"/>
      <c r="AF2" s="1209"/>
      <c r="AG2" s="1209"/>
      <c r="AH2" s="1209"/>
      <c r="AI2" s="1209"/>
      <c r="AJ2" s="1209"/>
      <c r="AK2" s="1209"/>
      <c r="AL2" s="1209"/>
      <c r="AM2" s="1209"/>
      <c r="AN2" s="1209"/>
      <c r="AO2" s="1209"/>
      <c r="AP2" s="1209"/>
      <c r="AQ2" s="1209"/>
      <c r="AR2" s="1209"/>
      <c r="AS2" s="1209"/>
      <c r="AT2" s="1209"/>
      <c r="AU2" s="1209"/>
      <c r="AV2" s="1209"/>
      <c r="AW2" s="1209"/>
      <c r="AX2" s="1209"/>
      <c r="AY2" s="1209"/>
      <c r="AZ2" s="1209"/>
      <c r="BA2" s="1209"/>
      <c r="BB2" s="1209"/>
      <c r="BC2" s="1209"/>
      <c r="BD2" s="1209"/>
      <c r="BE2" s="1209"/>
      <c r="BF2" s="1209"/>
      <c r="BG2" s="1209"/>
      <c r="BH2" s="1209"/>
      <c r="BI2" s="1209"/>
      <c r="BJ2" s="1209"/>
      <c r="BK2" s="1209"/>
      <c r="BL2" s="1209"/>
      <c r="BM2" s="1209"/>
      <c r="BN2" s="1209"/>
      <c r="BO2" s="1209"/>
      <c r="BP2" s="1209"/>
      <c r="BQ2" s="1209"/>
      <c r="BR2" s="1209"/>
      <c r="BS2" s="1209"/>
      <c r="BT2" s="1209"/>
      <c r="BU2" s="1209"/>
      <c r="BV2" s="1209"/>
      <c r="BW2" s="1209"/>
      <c r="BX2" s="1209"/>
      <c r="BY2" s="1209"/>
      <c r="BZ2" s="1209"/>
      <c r="CA2" s="1209"/>
      <c r="CB2" s="1209"/>
      <c r="CC2" s="1209"/>
      <c r="CD2" s="1209"/>
      <c r="CE2" s="1209"/>
      <c r="CF2" s="1209"/>
      <c r="CG2" s="1209"/>
      <c r="CH2" s="1209"/>
      <c r="CI2" s="1209"/>
      <c r="CJ2" s="1209"/>
      <c r="CK2" s="1209"/>
      <c r="CL2" s="1209"/>
      <c r="CM2" s="1209"/>
      <c r="CN2" s="1209"/>
      <c r="CO2" s="1209"/>
      <c r="CP2" s="1209"/>
      <c r="CQ2" s="1209"/>
      <c r="CR2" s="1209"/>
      <c r="CS2" s="1209"/>
      <c r="CT2" s="1209"/>
      <c r="CU2" s="1209"/>
      <c r="CV2" s="1209"/>
      <c r="CW2" s="1209"/>
      <c r="CX2" s="1209"/>
      <c r="CY2" s="1209"/>
      <c r="CZ2" s="1209"/>
      <c r="DA2" s="1209"/>
      <c r="DB2" s="1209"/>
      <c r="DC2" s="1209"/>
      <c r="DD2" s="1209"/>
      <c r="DE2" s="1209"/>
      <c r="DF2" s="1209"/>
      <c r="DG2" s="1209"/>
      <c r="DH2" s="1209"/>
      <c r="DI2" s="1209"/>
      <c r="DJ2" s="1209"/>
      <c r="DK2" s="1209"/>
      <c r="DL2" s="1209"/>
      <c r="DM2" s="1209"/>
      <c r="DN2" s="1209"/>
      <c r="DO2" s="1209"/>
      <c r="DP2" s="1209"/>
      <c r="DQ2" s="1209"/>
      <c r="DR2" s="1209"/>
      <c r="DS2" s="1209"/>
      <c r="DT2" s="1209"/>
      <c r="DU2" s="1209"/>
      <c r="DV2" s="1209"/>
      <c r="DW2" s="1209"/>
      <c r="DX2" s="1209"/>
      <c r="DY2" s="1209"/>
      <c r="DZ2" s="1209"/>
      <c r="EA2" s="1209"/>
      <c r="EB2" s="1209"/>
      <c r="EC2" s="1209"/>
      <c r="ED2" s="1209"/>
      <c r="EE2" s="1209"/>
      <c r="EF2" s="1209"/>
      <c r="EG2" s="1209"/>
      <c r="EH2" s="1209"/>
      <c r="EI2" s="1209"/>
      <c r="EJ2" s="1209"/>
      <c r="EK2" s="1209"/>
      <c r="EL2" s="1209"/>
      <c r="EM2" s="1209"/>
      <c r="EN2" s="1209"/>
      <c r="EO2" s="1209"/>
      <c r="EP2" s="1209"/>
      <c r="EQ2" s="1209"/>
      <c r="ER2" s="1209"/>
      <c r="ES2" s="1209"/>
      <c r="ET2" s="1209"/>
      <c r="EU2" s="1209"/>
      <c r="EV2" s="1209"/>
      <c r="EW2" s="1209"/>
      <c r="EX2" s="1209"/>
      <c r="EY2" s="1209"/>
      <c r="EZ2" s="1209"/>
      <c r="FA2" s="1209"/>
      <c r="FB2" s="1209"/>
      <c r="FC2" s="1209"/>
      <c r="FD2" s="1209"/>
      <c r="FE2" s="1209"/>
      <c r="FF2" s="1209"/>
      <c r="FG2" s="1209"/>
      <c r="FH2" s="1209"/>
      <c r="FI2" s="1209"/>
      <c r="FJ2" s="1209"/>
      <c r="FK2" s="1209"/>
      <c r="FL2" s="1209"/>
      <c r="FM2" s="1209"/>
      <c r="FN2" s="1209"/>
      <c r="FO2" s="1209"/>
      <c r="FP2" s="1209"/>
      <c r="FQ2" s="1209"/>
      <c r="FR2" s="1209"/>
      <c r="FS2" s="1209"/>
      <c r="FT2" s="1209"/>
      <c r="FU2" s="1209"/>
      <c r="FV2" s="1209"/>
      <c r="FW2" s="1209"/>
      <c r="FX2" s="1209"/>
      <c r="FY2" s="1209"/>
      <c r="FZ2" s="1209"/>
      <c r="GA2" s="1209"/>
      <c r="GB2" s="1209"/>
      <c r="GC2" s="1209"/>
      <c r="GD2" s="1209"/>
      <c r="GE2" s="1209"/>
      <c r="GF2" s="1209"/>
      <c r="GG2" s="1209"/>
      <c r="GH2" s="1209"/>
      <c r="GI2" s="1209"/>
      <c r="GJ2" s="1209"/>
      <c r="GK2" s="1209"/>
      <c r="GL2" s="1209"/>
      <c r="GM2" s="1209"/>
      <c r="GN2" s="1209"/>
      <c r="GO2" s="1209"/>
      <c r="GP2" s="1209"/>
      <c r="GQ2" s="1209"/>
      <c r="GR2" s="1209"/>
      <c r="GS2" s="1209"/>
      <c r="GT2" s="1209"/>
      <c r="GU2" s="1209"/>
      <c r="GV2" s="1209"/>
      <c r="GW2" s="1209"/>
      <c r="GX2" s="1209"/>
      <c r="GY2" s="1209"/>
      <c r="GZ2" s="1209"/>
      <c r="HA2" s="1209"/>
      <c r="HB2" s="1209"/>
      <c r="HC2" s="1209"/>
      <c r="HD2" s="1209"/>
      <c r="HE2" s="1209"/>
      <c r="HF2" s="1209"/>
      <c r="HG2" s="1209"/>
      <c r="HH2" s="1209"/>
      <c r="HI2" s="1209"/>
      <c r="HJ2" s="1209"/>
      <c r="HK2" s="1209"/>
      <c r="HL2" s="1209"/>
      <c r="HM2" s="1209"/>
      <c r="HN2" s="1209"/>
      <c r="HO2" s="1209"/>
      <c r="HP2" s="1209"/>
      <c r="HQ2" s="1209"/>
      <c r="HR2" s="1209"/>
      <c r="HS2" s="1209"/>
      <c r="HT2" s="1209"/>
      <c r="HU2" s="1209"/>
      <c r="HV2" s="1209"/>
      <c r="HW2" s="1209"/>
      <c r="HX2" s="1209"/>
      <c r="HY2" s="1209"/>
      <c r="HZ2" s="1209"/>
      <c r="IA2" s="1209"/>
      <c r="IB2" s="1209"/>
      <c r="IC2" s="1209"/>
      <c r="ID2" s="1209"/>
      <c r="IE2" s="1209"/>
      <c r="IF2" s="1209"/>
      <c r="IG2" s="1209"/>
    </row>
    <row r="3" spans="1:241" ht="34.5" customHeight="1">
      <c r="A3" s="1209" t="s">
        <v>558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09"/>
      <c r="AJ3" s="1209"/>
      <c r="AK3" s="1209"/>
      <c r="AL3" s="1209"/>
      <c r="AM3" s="1209"/>
      <c r="AN3" s="1209"/>
      <c r="AO3" s="1209"/>
      <c r="AP3" s="1209"/>
      <c r="AQ3" s="1209"/>
      <c r="AR3" s="1209"/>
      <c r="AS3" s="1209"/>
      <c r="AT3" s="1209"/>
      <c r="AU3" s="1209"/>
      <c r="AV3" s="1209"/>
      <c r="AW3" s="1209"/>
      <c r="AX3" s="1209"/>
      <c r="AY3" s="1209"/>
      <c r="AZ3" s="1209"/>
      <c r="BA3" s="1209"/>
      <c r="BB3" s="1209"/>
      <c r="BC3" s="1209"/>
      <c r="BD3" s="1209"/>
      <c r="BE3" s="1209"/>
      <c r="BF3" s="1209"/>
      <c r="BG3" s="1209"/>
      <c r="BH3" s="1209"/>
      <c r="BI3" s="1209"/>
      <c r="BJ3" s="1209"/>
      <c r="BK3" s="1209"/>
      <c r="BL3" s="1209"/>
      <c r="BM3" s="1209"/>
      <c r="BN3" s="1209"/>
      <c r="BO3" s="1209"/>
      <c r="BP3" s="1209"/>
      <c r="BQ3" s="1209"/>
      <c r="BR3" s="1209"/>
      <c r="BS3" s="1209"/>
      <c r="BT3" s="1209"/>
      <c r="BU3" s="1209"/>
      <c r="BV3" s="1209"/>
      <c r="BW3" s="1209"/>
      <c r="BX3" s="1209"/>
      <c r="BY3" s="1209"/>
      <c r="BZ3" s="1209"/>
      <c r="CA3" s="1209"/>
      <c r="CB3" s="1209"/>
      <c r="CC3" s="1209"/>
      <c r="CD3" s="1209"/>
      <c r="CE3" s="1209"/>
      <c r="CF3" s="1209"/>
      <c r="CG3" s="1209"/>
      <c r="CH3" s="1209"/>
      <c r="CI3" s="1209"/>
      <c r="CJ3" s="1209"/>
      <c r="CK3" s="1209"/>
      <c r="CL3" s="1209"/>
      <c r="CM3" s="1209"/>
      <c r="CN3" s="1209"/>
      <c r="CO3" s="1209"/>
      <c r="CP3" s="1209"/>
      <c r="CQ3" s="1209"/>
      <c r="CR3" s="1209"/>
      <c r="CS3" s="1209"/>
      <c r="CT3" s="1209"/>
      <c r="CU3" s="1209"/>
      <c r="CV3" s="1209"/>
      <c r="CW3" s="1209"/>
      <c r="CX3" s="1209"/>
      <c r="CY3" s="1209"/>
      <c r="CZ3" s="1209"/>
      <c r="DA3" s="1209"/>
      <c r="DB3" s="1209"/>
      <c r="DC3" s="1209"/>
      <c r="DD3" s="1209"/>
      <c r="DE3" s="1209"/>
      <c r="DF3" s="1209"/>
      <c r="DG3" s="1209"/>
      <c r="DH3" s="1209"/>
      <c r="DI3" s="1209"/>
      <c r="DJ3" s="1209"/>
      <c r="DK3" s="1209"/>
      <c r="DL3" s="1209"/>
      <c r="DM3" s="1209"/>
      <c r="DN3" s="1209"/>
      <c r="DO3" s="1209"/>
      <c r="DP3" s="1209"/>
      <c r="DQ3" s="1209"/>
      <c r="DR3" s="1209"/>
      <c r="DS3" s="1209"/>
      <c r="DT3" s="1209"/>
      <c r="DU3" s="1209"/>
      <c r="DV3" s="1209"/>
      <c r="DW3" s="1209"/>
      <c r="DX3" s="1209"/>
      <c r="DY3" s="1209"/>
      <c r="DZ3" s="1209"/>
      <c r="EA3" s="1209"/>
      <c r="EB3" s="1209"/>
      <c r="EC3" s="1209"/>
      <c r="ED3" s="1209"/>
      <c r="EE3" s="1209"/>
      <c r="EF3" s="1209"/>
      <c r="EG3" s="1209"/>
      <c r="EH3" s="1209"/>
      <c r="EI3" s="1209"/>
      <c r="EJ3" s="1209"/>
      <c r="EK3" s="1209"/>
      <c r="EL3" s="1209"/>
      <c r="EM3" s="1209"/>
      <c r="EN3" s="1209"/>
      <c r="EO3" s="1209"/>
      <c r="EP3" s="1209"/>
      <c r="EQ3" s="1209"/>
      <c r="ER3" s="1209"/>
      <c r="ES3" s="1209"/>
      <c r="ET3" s="1209"/>
      <c r="EU3" s="1209"/>
      <c r="EV3" s="1209"/>
      <c r="EW3" s="1209"/>
      <c r="EX3" s="1209"/>
      <c r="EY3" s="1209"/>
      <c r="EZ3" s="1209"/>
      <c r="FA3" s="1209"/>
      <c r="FB3" s="1209"/>
      <c r="FC3" s="1209"/>
      <c r="FD3" s="1209"/>
      <c r="FE3" s="1209"/>
      <c r="FF3" s="1209"/>
      <c r="FG3" s="1209"/>
      <c r="FH3" s="1209"/>
      <c r="FI3" s="1209"/>
      <c r="FJ3" s="1209"/>
      <c r="FK3" s="1209"/>
      <c r="FL3" s="1209"/>
      <c r="FM3" s="1209"/>
      <c r="FN3" s="1209"/>
      <c r="FO3" s="1209"/>
      <c r="FP3" s="1209"/>
      <c r="FQ3" s="1209"/>
      <c r="FR3" s="1209"/>
      <c r="FS3" s="1209"/>
      <c r="FT3" s="1209"/>
      <c r="FU3" s="1209"/>
      <c r="FV3" s="1209"/>
      <c r="FW3" s="1209"/>
      <c r="FX3" s="1209"/>
      <c r="FY3" s="1209"/>
      <c r="FZ3" s="1209"/>
      <c r="GA3" s="1209"/>
      <c r="GB3" s="1209"/>
      <c r="GC3" s="1209"/>
      <c r="GD3" s="1209"/>
      <c r="GE3" s="1209"/>
      <c r="GF3" s="1209"/>
      <c r="GG3" s="1209"/>
      <c r="GH3" s="1209"/>
      <c r="GI3" s="1209"/>
      <c r="GJ3" s="1209"/>
      <c r="GK3" s="1209"/>
      <c r="GL3" s="1209"/>
      <c r="GM3" s="1209"/>
      <c r="GN3" s="1209"/>
      <c r="GO3" s="1209"/>
      <c r="GP3" s="1209"/>
      <c r="GQ3" s="1209"/>
      <c r="GR3" s="1209"/>
      <c r="GS3" s="1209"/>
      <c r="GT3" s="1209"/>
      <c r="GU3" s="1209"/>
      <c r="GV3" s="1209"/>
      <c r="GW3" s="1209"/>
      <c r="GX3" s="1209"/>
      <c r="GY3" s="1209"/>
      <c r="GZ3" s="1209"/>
      <c r="HA3" s="1209"/>
      <c r="HB3" s="1209"/>
      <c r="HC3" s="1209"/>
      <c r="HD3" s="1209"/>
      <c r="HE3" s="1209"/>
      <c r="HF3" s="1209"/>
      <c r="HG3" s="1209"/>
      <c r="HH3" s="1209"/>
      <c r="HI3" s="1209"/>
      <c r="HJ3" s="1209"/>
      <c r="HK3" s="1209"/>
      <c r="HL3" s="1209"/>
      <c r="HM3" s="1209"/>
      <c r="HN3" s="1209"/>
      <c r="HO3" s="1209"/>
      <c r="HP3" s="1209"/>
      <c r="HQ3" s="1209"/>
      <c r="HR3" s="1209"/>
      <c r="HS3" s="1209"/>
      <c r="HT3" s="1209"/>
      <c r="HU3" s="1209"/>
      <c r="HV3" s="1209"/>
      <c r="HW3" s="1209"/>
      <c r="HX3" s="1209"/>
      <c r="HY3" s="1209"/>
      <c r="HZ3" s="1209"/>
      <c r="IA3" s="1209"/>
      <c r="IB3" s="1209"/>
      <c r="IC3" s="1209"/>
      <c r="ID3" s="1209"/>
      <c r="IE3" s="1209"/>
      <c r="IF3" s="1209"/>
      <c r="IG3" s="1209"/>
    </row>
    <row r="4" spans="1:18" ht="89.25" customHeight="1">
      <c r="A4" s="11"/>
      <c r="B4" s="12"/>
      <c r="D4" s="13"/>
      <c r="E4" s="13"/>
      <c r="F4" s="13"/>
      <c r="J4" s="14"/>
      <c r="K4" s="14"/>
      <c r="L4" s="14"/>
      <c r="M4" s="14"/>
      <c r="N4" s="14"/>
      <c r="O4" s="14"/>
      <c r="P4" s="14" t="s">
        <v>18</v>
      </c>
      <c r="Q4" s="14"/>
      <c r="R4" s="14"/>
    </row>
    <row r="5" spans="1:19" ht="67.5" customHeight="1">
      <c r="A5" s="1261" t="s">
        <v>31</v>
      </c>
      <c r="B5" s="1262" t="s">
        <v>45</v>
      </c>
      <c r="C5" s="25" t="s">
        <v>0</v>
      </c>
      <c r="D5" s="1269" t="s">
        <v>46</v>
      </c>
      <c r="E5" s="1270"/>
      <c r="F5" s="1271"/>
      <c r="G5" s="1269" t="s">
        <v>47</v>
      </c>
      <c r="H5" s="1270"/>
      <c r="I5" s="1271"/>
      <c r="J5" s="1269" t="s">
        <v>48</v>
      </c>
      <c r="K5" s="1270"/>
      <c r="L5" s="1271"/>
      <c r="M5" s="1269" t="s">
        <v>49</v>
      </c>
      <c r="N5" s="1270"/>
      <c r="O5" s="1271"/>
      <c r="P5" s="1272" t="s">
        <v>50</v>
      </c>
      <c r="Q5" s="1273"/>
      <c r="R5" s="1274"/>
      <c r="S5" s="1244" t="s">
        <v>288</v>
      </c>
    </row>
    <row r="6" spans="1:19" ht="67.5" customHeight="1">
      <c r="A6" s="1261"/>
      <c r="B6" s="1262"/>
      <c r="C6" s="26" t="s">
        <v>32</v>
      </c>
      <c r="D6" s="332" t="s">
        <v>322</v>
      </c>
      <c r="E6" s="332" t="s">
        <v>319</v>
      </c>
      <c r="F6" s="332" t="s">
        <v>497</v>
      </c>
      <c r="G6" s="332" t="s">
        <v>322</v>
      </c>
      <c r="H6" s="332" t="s">
        <v>319</v>
      </c>
      <c r="I6" s="332" t="s">
        <v>497</v>
      </c>
      <c r="J6" s="332" t="s">
        <v>322</v>
      </c>
      <c r="K6" s="332" t="s">
        <v>319</v>
      </c>
      <c r="L6" s="332" t="s">
        <v>497</v>
      </c>
      <c r="M6" s="332" t="s">
        <v>322</v>
      </c>
      <c r="N6" s="332" t="s">
        <v>319</v>
      </c>
      <c r="O6" s="332" t="s">
        <v>497</v>
      </c>
      <c r="P6" s="332" t="s">
        <v>322</v>
      </c>
      <c r="Q6" s="332" t="s">
        <v>319</v>
      </c>
      <c r="R6" s="332" t="s">
        <v>497</v>
      </c>
      <c r="S6" s="1245"/>
    </row>
    <row r="7" spans="1:19" ht="42" customHeight="1">
      <c r="A7" s="27" t="s">
        <v>1</v>
      </c>
      <c r="B7" s="391" t="s">
        <v>56</v>
      </c>
      <c r="C7" s="337" t="s">
        <v>33</v>
      </c>
      <c r="D7" s="454">
        <v>7000</v>
      </c>
      <c r="E7" s="455">
        <v>0</v>
      </c>
      <c r="F7" s="456">
        <v>0</v>
      </c>
      <c r="G7" s="1246"/>
      <c r="H7" s="1247"/>
      <c r="I7" s="1248"/>
      <c r="J7" s="1246"/>
      <c r="K7" s="1247"/>
      <c r="L7" s="1248"/>
      <c r="M7" s="1246"/>
      <c r="N7" s="1247"/>
      <c r="O7" s="1248"/>
      <c r="P7" s="454">
        <f>SUM(D7)</f>
        <v>7000</v>
      </c>
      <c r="Q7" s="456">
        <f>+E7</f>
        <v>0</v>
      </c>
      <c r="R7" s="456">
        <f>+F7</f>
        <v>0</v>
      </c>
      <c r="S7" s="17" t="s">
        <v>34</v>
      </c>
    </row>
    <row r="8" spans="1:19" ht="42" customHeight="1">
      <c r="A8" s="27" t="s">
        <v>2</v>
      </c>
      <c r="B8" s="392" t="s">
        <v>55</v>
      </c>
      <c r="C8" s="338" t="s">
        <v>52</v>
      </c>
      <c r="D8" s="458">
        <v>3000</v>
      </c>
      <c r="E8" s="459">
        <v>3000</v>
      </c>
      <c r="F8" s="460">
        <v>1653</v>
      </c>
      <c r="G8" s="1249"/>
      <c r="H8" s="1250"/>
      <c r="I8" s="1251"/>
      <c r="J8" s="1249"/>
      <c r="K8" s="1250"/>
      <c r="L8" s="1251"/>
      <c r="M8" s="1249"/>
      <c r="N8" s="1250"/>
      <c r="O8" s="1251"/>
      <c r="P8" s="461">
        <f>+D8</f>
        <v>3000</v>
      </c>
      <c r="Q8" s="462">
        <f>+E8</f>
        <v>3000</v>
      </c>
      <c r="R8" s="463">
        <f>+F8+G7</f>
        <v>1653</v>
      </c>
      <c r="S8" s="17" t="s">
        <v>34</v>
      </c>
    </row>
    <row r="9" spans="1:19" ht="42" customHeight="1">
      <c r="A9" s="16" t="s">
        <v>3</v>
      </c>
      <c r="B9" s="1265" t="s">
        <v>56</v>
      </c>
      <c r="C9" s="339" t="s">
        <v>35</v>
      </c>
      <c r="D9" s="1246"/>
      <c r="E9" s="1247"/>
      <c r="F9" s="1248"/>
      <c r="G9" s="454">
        <v>14000</v>
      </c>
      <c r="H9" s="455">
        <v>19760</v>
      </c>
      <c r="I9" s="456">
        <v>15923</v>
      </c>
      <c r="J9" s="1249"/>
      <c r="K9" s="1250"/>
      <c r="L9" s="1251"/>
      <c r="M9" s="1249"/>
      <c r="N9" s="1250"/>
      <c r="O9" s="1251"/>
      <c r="P9" s="461">
        <f aca="true" t="shared" si="0" ref="P9:R11">+G9</f>
        <v>14000</v>
      </c>
      <c r="Q9" s="462">
        <f t="shared" si="0"/>
        <v>19760</v>
      </c>
      <c r="R9" s="464">
        <f t="shared" si="0"/>
        <v>15923</v>
      </c>
      <c r="S9" s="18" t="s">
        <v>34</v>
      </c>
    </row>
    <row r="10" spans="1:19" ht="42" customHeight="1">
      <c r="A10" s="16" t="s">
        <v>4</v>
      </c>
      <c r="B10" s="1266"/>
      <c r="C10" s="340" t="s">
        <v>42</v>
      </c>
      <c r="D10" s="1249"/>
      <c r="E10" s="1250"/>
      <c r="F10" s="1251"/>
      <c r="G10" s="461">
        <v>4000</v>
      </c>
      <c r="H10" s="465">
        <f>11144-1</f>
        <v>11143</v>
      </c>
      <c r="I10" s="462">
        <v>10283</v>
      </c>
      <c r="J10" s="1249"/>
      <c r="K10" s="1250"/>
      <c r="L10" s="1251"/>
      <c r="M10" s="1249"/>
      <c r="N10" s="1250"/>
      <c r="O10" s="1251"/>
      <c r="P10" s="461">
        <f t="shared" si="0"/>
        <v>4000</v>
      </c>
      <c r="Q10" s="462">
        <f t="shared" si="0"/>
        <v>11143</v>
      </c>
      <c r="R10" s="464">
        <f t="shared" si="0"/>
        <v>10283</v>
      </c>
      <c r="S10" s="18" t="s">
        <v>34</v>
      </c>
    </row>
    <row r="11" spans="1:19" ht="42" customHeight="1">
      <c r="A11" s="16" t="s">
        <v>5</v>
      </c>
      <c r="B11" s="1266"/>
      <c r="C11" s="340" t="s">
        <v>53</v>
      </c>
      <c r="D11" s="1249"/>
      <c r="E11" s="1250"/>
      <c r="F11" s="1251"/>
      <c r="G11" s="461">
        <v>1800</v>
      </c>
      <c r="H11" s="465">
        <f>SUM(G11:G11)</f>
        <v>1800</v>
      </c>
      <c r="I11" s="1259">
        <v>367</v>
      </c>
      <c r="J11" s="1249"/>
      <c r="K11" s="1250"/>
      <c r="L11" s="1251"/>
      <c r="M11" s="1249"/>
      <c r="N11" s="1250"/>
      <c r="O11" s="1251"/>
      <c r="P11" s="461">
        <f t="shared" si="0"/>
        <v>1800</v>
      </c>
      <c r="Q11" s="462">
        <f t="shared" si="0"/>
        <v>1800</v>
      </c>
      <c r="R11" s="1252">
        <f t="shared" si="0"/>
        <v>367</v>
      </c>
      <c r="S11" s="18" t="s">
        <v>34</v>
      </c>
    </row>
    <row r="12" spans="1:19" ht="42" customHeight="1">
      <c r="A12" s="16" t="s">
        <v>6</v>
      </c>
      <c r="B12" s="1266"/>
      <c r="C12" s="340" t="s">
        <v>43</v>
      </c>
      <c r="D12" s="1249"/>
      <c r="E12" s="1250"/>
      <c r="F12" s="1251"/>
      <c r="G12" s="461">
        <v>600</v>
      </c>
      <c r="H12" s="465">
        <f>SUM(G12:G12)</f>
        <v>600</v>
      </c>
      <c r="I12" s="1260"/>
      <c r="J12" s="1249"/>
      <c r="K12" s="1250"/>
      <c r="L12" s="1251"/>
      <c r="M12" s="1249"/>
      <c r="N12" s="1250"/>
      <c r="O12" s="1251"/>
      <c r="P12" s="461">
        <f>+G12</f>
        <v>600</v>
      </c>
      <c r="Q12" s="462">
        <f>+H12</f>
        <v>600</v>
      </c>
      <c r="R12" s="1255"/>
      <c r="S12" s="18" t="s">
        <v>34</v>
      </c>
    </row>
    <row r="13" spans="1:19" ht="42" customHeight="1">
      <c r="A13" s="16" t="s">
        <v>7</v>
      </c>
      <c r="B13" s="1266"/>
      <c r="C13" s="28" t="s">
        <v>44</v>
      </c>
      <c r="D13" s="1249"/>
      <c r="E13" s="1250"/>
      <c r="F13" s="1251"/>
      <c r="G13" s="458">
        <v>1500</v>
      </c>
      <c r="H13" s="459">
        <f>SUM(G13:G13)</f>
        <v>1500</v>
      </c>
      <c r="I13" s="460">
        <v>411</v>
      </c>
      <c r="J13" s="1249"/>
      <c r="K13" s="1250"/>
      <c r="L13" s="1251"/>
      <c r="M13" s="1249"/>
      <c r="N13" s="1250"/>
      <c r="O13" s="1251"/>
      <c r="P13" s="461">
        <f>+G13</f>
        <v>1500</v>
      </c>
      <c r="Q13" s="462">
        <f>+H13</f>
        <v>1500</v>
      </c>
      <c r="R13" s="464">
        <f>+I13</f>
        <v>411</v>
      </c>
      <c r="S13" s="19" t="s">
        <v>34</v>
      </c>
    </row>
    <row r="14" spans="1:19" ht="42" customHeight="1">
      <c r="A14" s="16" t="s">
        <v>8</v>
      </c>
      <c r="B14" s="1268"/>
      <c r="C14" s="337" t="s">
        <v>36</v>
      </c>
      <c r="D14" s="1249"/>
      <c r="E14" s="1250"/>
      <c r="F14" s="1251"/>
      <c r="G14" s="1246"/>
      <c r="H14" s="1247"/>
      <c r="I14" s="1248"/>
      <c r="J14" s="466">
        <v>3000</v>
      </c>
      <c r="K14" s="467">
        <v>0</v>
      </c>
      <c r="L14" s="496"/>
      <c r="M14" s="1249"/>
      <c r="N14" s="1250"/>
      <c r="O14" s="1251"/>
      <c r="P14" s="461">
        <f>+J14</f>
        <v>3000</v>
      </c>
      <c r="Q14" s="462">
        <f>+K14</f>
        <v>0</v>
      </c>
      <c r="R14" s="464">
        <f>+L14</f>
        <v>0</v>
      </c>
      <c r="S14" s="18" t="s">
        <v>34</v>
      </c>
    </row>
    <row r="15" spans="1:19" ht="42" customHeight="1">
      <c r="A15" s="16" t="s">
        <v>9</v>
      </c>
      <c r="B15" s="1265" t="s">
        <v>54</v>
      </c>
      <c r="C15" s="341" t="s">
        <v>37</v>
      </c>
      <c r="D15" s="1249"/>
      <c r="E15" s="1250"/>
      <c r="F15" s="1251"/>
      <c r="G15" s="1249"/>
      <c r="H15" s="1250"/>
      <c r="I15" s="1251"/>
      <c r="J15" s="1246"/>
      <c r="K15" s="1247"/>
      <c r="L15" s="1248"/>
      <c r="M15" s="454">
        <v>4000</v>
      </c>
      <c r="N15" s="456">
        <f>SUM(M15:M15)</f>
        <v>4000</v>
      </c>
      <c r="O15" s="457">
        <v>2297</v>
      </c>
      <c r="P15" s="461">
        <f aca="true" t="shared" si="1" ref="P15:R16">+M15</f>
        <v>4000</v>
      </c>
      <c r="Q15" s="462">
        <f t="shared" si="1"/>
        <v>4000</v>
      </c>
      <c r="R15" s="464">
        <f t="shared" si="1"/>
        <v>2297</v>
      </c>
      <c r="S15" s="18" t="s">
        <v>34</v>
      </c>
    </row>
    <row r="16" spans="1:19" ht="42" customHeight="1">
      <c r="A16" s="16" t="s">
        <v>10</v>
      </c>
      <c r="B16" s="1266"/>
      <c r="C16" s="23" t="s">
        <v>38</v>
      </c>
      <c r="D16" s="1249"/>
      <c r="E16" s="1250"/>
      <c r="F16" s="1251"/>
      <c r="G16" s="1249"/>
      <c r="H16" s="1250"/>
      <c r="I16" s="1251"/>
      <c r="J16" s="1249"/>
      <c r="K16" s="1250"/>
      <c r="L16" s="1251"/>
      <c r="M16" s="461">
        <v>3000</v>
      </c>
      <c r="N16" s="462">
        <v>2424</v>
      </c>
      <c r="O16" s="464">
        <v>1421</v>
      </c>
      <c r="P16" s="461">
        <f t="shared" si="1"/>
        <v>3000</v>
      </c>
      <c r="Q16" s="462">
        <f t="shared" si="1"/>
        <v>2424</v>
      </c>
      <c r="R16" s="464">
        <f t="shared" si="1"/>
        <v>1421</v>
      </c>
      <c r="S16" s="18" t="s">
        <v>39</v>
      </c>
    </row>
    <row r="17" spans="1:19" ht="42" customHeight="1">
      <c r="A17" s="16"/>
      <c r="B17" s="1266"/>
      <c r="C17" s="23" t="s">
        <v>518</v>
      </c>
      <c r="D17" s="1249"/>
      <c r="E17" s="1250"/>
      <c r="F17" s="1251"/>
      <c r="G17" s="1249"/>
      <c r="H17" s="1250"/>
      <c r="I17" s="1251"/>
      <c r="J17" s="1249"/>
      <c r="K17" s="1250"/>
      <c r="L17" s="1251"/>
      <c r="M17" s="461"/>
      <c r="N17" s="462">
        <v>1798</v>
      </c>
      <c r="O17" s="499">
        <v>1798</v>
      </c>
      <c r="P17" s="461"/>
      <c r="Q17" s="462">
        <f>+N17</f>
        <v>1798</v>
      </c>
      <c r="R17" s="464">
        <f>+O17</f>
        <v>1798</v>
      </c>
      <c r="S17" s="18" t="s">
        <v>34</v>
      </c>
    </row>
    <row r="18" spans="1:19" ht="42" customHeight="1">
      <c r="A18" s="16" t="s">
        <v>11</v>
      </c>
      <c r="B18" s="1266"/>
      <c r="C18" s="23" t="s">
        <v>40</v>
      </c>
      <c r="D18" s="1249"/>
      <c r="E18" s="1250"/>
      <c r="F18" s="1251"/>
      <c r="G18" s="1249"/>
      <c r="H18" s="1250"/>
      <c r="I18" s="1251"/>
      <c r="J18" s="1249"/>
      <c r="K18" s="1250"/>
      <c r="L18" s="1251"/>
      <c r="M18" s="461">
        <v>2500</v>
      </c>
      <c r="N18" s="462">
        <f>SUM(M18:M18)</f>
        <v>2500</v>
      </c>
      <c r="O18" s="1252">
        <v>2451</v>
      </c>
      <c r="P18" s="461">
        <f>+M18</f>
        <v>2500</v>
      </c>
      <c r="Q18" s="462">
        <f>+N18</f>
        <v>2500</v>
      </c>
      <c r="R18" s="1252">
        <f>+O18</f>
        <v>2451</v>
      </c>
      <c r="S18" s="18" t="s">
        <v>34</v>
      </c>
    </row>
    <row r="19" spans="1:19" ht="42" customHeight="1">
      <c r="A19" s="16" t="s">
        <v>57</v>
      </c>
      <c r="B19" s="1267"/>
      <c r="C19" s="24" t="s">
        <v>41</v>
      </c>
      <c r="D19" s="1256"/>
      <c r="E19" s="1257"/>
      <c r="F19" s="1258"/>
      <c r="G19" s="1256"/>
      <c r="H19" s="1257"/>
      <c r="I19" s="1258"/>
      <c r="J19" s="1256"/>
      <c r="K19" s="1257"/>
      <c r="L19" s="1258"/>
      <c r="M19" s="458">
        <v>500</v>
      </c>
      <c r="N19" s="460">
        <f>SUM(M19:M19)</f>
        <v>500</v>
      </c>
      <c r="O19" s="1253"/>
      <c r="P19" s="458">
        <f>+M19</f>
        <v>500</v>
      </c>
      <c r="Q19" s="460">
        <f>+N19</f>
        <v>500</v>
      </c>
      <c r="R19" s="1253"/>
      <c r="S19" s="18" t="s">
        <v>34</v>
      </c>
    </row>
    <row r="20" spans="1:20" s="21" customFormat="1" ht="36.75" customHeight="1">
      <c r="A20" s="1263" t="s">
        <v>51</v>
      </c>
      <c r="B20" s="1263"/>
      <c r="C20" s="1264"/>
      <c r="D20" s="468">
        <f>SUM(D7:D19)</f>
        <v>10000</v>
      </c>
      <c r="E20" s="468">
        <f>SUM(E7:E19)</f>
        <v>3000</v>
      </c>
      <c r="F20" s="468">
        <f>+F7+F8</f>
        <v>1653</v>
      </c>
      <c r="G20" s="468">
        <f aca="true" t="shared" si="2" ref="G20:N20">SUM(G7:G19)</f>
        <v>21900</v>
      </c>
      <c r="H20" s="468">
        <f t="shared" si="2"/>
        <v>34803</v>
      </c>
      <c r="I20" s="468">
        <f>+I13+I11+I10+I9</f>
        <v>26984</v>
      </c>
      <c r="J20" s="468">
        <f t="shared" si="2"/>
        <v>3000</v>
      </c>
      <c r="K20" s="468">
        <f t="shared" si="2"/>
        <v>0</v>
      </c>
      <c r="L20" s="468">
        <f>+L14</f>
        <v>0</v>
      </c>
      <c r="M20" s="468">
        <f t="shared" si="2"/>
        <v>10000</v>
      </c>
      <c r="N20" s="468">
        <f t="shared" si="2"/>
        <v>11222</v>
      </c>
      <c r="O20" s="469">
        <f>+O18+O16+O15+O17</f>
        <v>7967</v>
      </c>
      <c r="P20" s="469">
        <f>SUM(P7:P19)</f>
        <v>44900</v>
      </c>
      <c r="Q20" s="469">
        <f>SUM(Q7:Q19)</f>
        <v>49025</v>
      </c>
      <c r="R20" s="469">
        <f>+F20+I20+L20+O20</f>
        <v>36604</v>
      </c>
      <c r="S20" s="20"/>
      <c r="T20" s="470">
        <f>SUM(R7:R19)</f>
        <v>36604</v>
      </c>
    </row>
    <row r="21" ht="57.75" customHeight="1">
      <c r="U21" s="29">
        <f>SUM(P7:P19)</f>
        <v>44900</v>
      </c>
    </row>
    <row r="22" spans="1:21" ht="48.75" customHeight="1">
      <c r="A22" s="1261" t="s">
        <v>31</v>
      </c>
      <c r="B22" s="1262" t="s">
        <v>45</v>
      </c>
      <c r="C22" s="110" t="s">
        <v>0</v>
      </c>
      <c r="D22" s="1254" t="s">
        <v>262</v>
      </c>
      <c r="E22" s="1254"/>
      <c r="F22" s="1254"/>
      <c r="G22" s="1244" t="s">
        <v>288</v>
      </c>
      <c r="U22" s="29"/>
    </row>
    <row r="23" spans="1:21" ht="65.25" customHeight="1">
      <c r="A23" s="1261"/>
      <c r="B23" s="1262"/>
      <c r="C23" s="110" t="s">
        <v>32</v>
      </c>
      <c r="D23" s="332" t="s">
        <v>321</v>
      </c>
      <c r="E23" s="332" t="s">
        <v>319</v>
      </c>
      <c r="F23" s="332" t="s">
        <v>497</v>
      </c>
      <c r="G23" s="1245"/>
      <c r="U23" s="29"/>
    </row>
    <row r="24" spans="1:7" ht="33" customHeight="1">
      <c r="A24" s="111"/>
      <c r="B24" s="112" t="s">
        <v>279</v>
      </c>
      <c r="C24" s="22" t="s">
        <v>278</v>
      </c>
      <c r="D24" s="113">
        <v>200</v>
      </c>
      <c r="E24" s="113">
        <f>SUM(D24:D24)</f>
        <v>200</v>
      </c>
      <c r="F24" s="113"/>
      <c r="G24" s="112" t="s">
        <v>34</v>
      </c>
    </row>
  </sheetData>
  <sheetProtection/>
  <mergeCells count="86">
    <mergeCell ref="J5:L5"/>
    <mergeCell ref="A5:A6"/>
    <mergeCell ref="FY2:GF2"/>
    <mergeCell ref="GG2:GN2"/>
    <mergeCell ref="S5:S6"/>
    <mergeCell ref="A1:S1"/>
    <mergeCell ref="A2:S2"/>
    <mergeCell ref="T2:V2"/>
    <mergeCell ref="A3:S3"/>
    <mergeCell ref="T3:V3"/>
    <mergeCell ref="M5:O5"/>
    <mergeCell ref="P5:R5"/>
    <mergeCell ref="DM2:DT2"/>
    <mergeCell ref="DU2:EB2"/>
    <mergeCell ref="GO2:GV2"/>
    <mergeCell ref="GW2:HD2"/>
    <mergeCell ref="AC2:AJ2"/>
    <mergeCell ref="AK2:AR2"/>
    <mergeCell ref="AS2:AZ2"/>
    <mergeCell ref="BA2:BH2"/>
    <mergeCell ref="FI2:FP2"/>
    <mergeCell ref="FQ2:FX2"/>
    <mergeCell ref="BY2:CF2"/>
    <mergeCell ref="W2:AB2"/>
    <mergeCell ref="CG2:CN2"/>
    <mergeCell ref="CO2:CV2"/>
    <mergeCell ref="CW2:DD2"/>
    <mergeCell ref="DE2:DL2"/>
    <mergeCell ref="HU2:IB2"/>
    <mergeCell ref="IC2:IG2"/>
    <mergeCell ref="BI2:BP2"/>
    <mergeCell ref="BQ2:BX2"/>
    <mergeCell ref="EC2:EJ2"/>
    <mergeCell ref="EK2:ER2"/>
    <mergeCell ref="HE2:HL2"/>
    <mergeCell ref="HM2:HT2"/>
    <mergeCell ref="ES2:EZ2"/>
    <mergeCell ref="FA2:FH2"/>
    <mergeCell ref="BI3:BP3"/>
    <mergeCell ref="BQ3:BX3"/>
    <mergeCell ref="HU3:IB3"/>
    <mergeCell ref="IC3:IG3"/>
    <mergeCell ref="HM3:HT3"/>
    <mergeCell ref="EK3:ER3"/>
    <mergeCell ref="ES3:EZ3"/>
    <mergeCell ref="FA3:FH3"/>
    <mergeCell ref="FI3:FP3"/>
    <mergeCell ref="GG3:GN3"/>
    <mergeCell ref="BY3:CF3"/>
    <mergeCell ref="CG3:CN3"/>
    <mergeCell ref="G5:I5"/>
    <mergeCell ref="CO3:CV3"/>
    <mergeCell ref="CW3:DD3"/>
    <mergeCell ref="DE3:DL3"/>
    <mergeCell ref="AC3:AJ3"/>
    <mergeCell ref="AK3:AR3"/>
    <mergeCell ref="AS3:AZ3"/>
    <mergeCell ref="BA3:BH3"/>
    <mergeCell ref="DM3:DT3"/>
    <mergeCell ref="HE3:HL3"/>
    <mergeCell ref="DU3:EB3"/>
    <mergeCell ref="EC3:EJ3"/>
    <mergeCell ref="FQ3:FX3"/>
    <mergeCell ref="FY3:GF3"/>
    <mergeCell ref="GW3:HD3"/>
    <mergeCell ref="GO3:GV3"/>
    <mergeCell ref="M7:O14"/>
    <mergeCell ref="I11:I12"/>
    <mergeCell ref="W3:AB3"/>
    <mergeCell ref="A22:A23"/>
    <mergeCell ref="B22:B23"/>
    <mergeCell ref="B5:B6"/>
    <mergeCell ref="A20:C20"/>
    <mergeCell ref="B15:B19"/>
    <mergeCell ref="B9:B14"/>
    <mergeCell ref="D5:F5"/>
    <mergeCell ref="G22:G23"/>
    <mergeCell ref="G7:I8"/>
    <mergeCell ref="O18:O19"/>
    <mergeCell ref="D22:F22"/>
    <mergeCell ref="R18:R19"/>
    <mergeCell ref="R11:R12"/>
    <mergeCell ref="D9:F19"/>
    <mergeCell ref="G14:I19"/>
    <mergeCell ref="J15:L19"/>
    <mergeCell ref="J7:L13"/>
  </mergeCells>
  <printOptions horizontalCentered="1" verticalCentered="1"/>
  <pageMargins left="0.31496062992125984" right="0.15748031496062992" top="0.2755905511811024" bottom="0.35433070866141736" header="0.15748031496062992" footer="0.15748031496062992"/>
  <pageSetup horizontalDpi="600" verticalDpi="600" orientation="landscape" paperSize="9" scale="40" r:id="rId1"/>
  <headerFooter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0"/>
  <sheetViews>
    <sheetView tabSelected="1" view="pageBreakPreview" zoomScale="75" zoomScaleSheetLayoutView="75" zoomScalePageLayoutView="0" workbookViewId="0" topLeftCell="A1">
      <selection activeCell="K21" sqref="K21"/>
    </sheetView>
  </sheetViews>
  <sheetFormatPr defaultColWidth="9.00390625" defaultRowHeight="12.75"/>
  <cols>
    <col min="1" max="1" width="5.00390625" style="2" customWidth="1"/>
    <col min="2" max="2" width="5.625" style="2" customWidth="1"/>
    <col min="3" max="3" width="7.25390625" style="2" customWidth="1"/>
    <col min="4" max="4" width="58.00390625" style="2" customWidth="1"/>
    <col min="5" max="7" width="14.25390625" style="2" customWidth="1"/>
    <col min="8" max="8" width="12.625" style="2" customWidth="1"/>
    <col min="9" max="12" width="14.25390625" style="2" customWidth="1"/>
    <col min="13" max="13" width="9.125" style="2" customWidth="1"/>
    <col min="14" max="14" width="10.25390625" style="2" bestFit="1" customWidth="1"/>
    <col min="15" max="16384" width="9.125" style="2" customWidth="1"/>
  </cols>
  <sheetData>
    <row r="1" spans="1:13" s="1" customFormat="1" ht="39" customHeight="1">
      <c r="A1" s="1295" t="s">
        <v>16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</row>
    <row r="2" spans="1:13" ht="53.25" customHeight="1">
      <c r="A2" s="1296" t="s">
        <v>17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</row>
    <row r="3" spans="1:13" s="3" customFormat="1" ht="31.5" customHeight="1">
      <c r="A3" s="1297" t="s">
        <v>558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</row>
    <row r="4" spans="1:12" s="3" customFormat="1" ht="3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3.25" customHeight="1">
      <c r="A5" s="4"/>
      <c r="B5" s="4"/>
      <c r="C5" s="4"/>
      <c r="D5" s="5"/>
      <c r="E5" s="342"/>
      <c r="F5" s="342"/>
      <c r="G5" s="342"/>
      <c r="H5" s="342"/>
      <c r="I5" s="342"/>
      <c r="J5" s="342" t="s">
        <v>18</v>
      </c>
      <c r="K5" s="342"/>
      <c r="L5" s="342"/>
    </row>
    <row r="6" spans="1:13" ht="33.75" customHeight="1">
      <c r="A6" s="1278" t="s">
        <v>19</v>
      </c>
      <c r="B6" s="1281" t="s">
        <v>20</v>
      </c>
      <c r="C6" s="1284" t="s">
        <v>323</v>
      </c>
      <c r="D6" s="1287" t="s">
        <v>21</v>
      </c>
      <c r="E6" s="1293" t="s">
        <v>28</v>
      </c>
      <c r="F6" s="1293"/>
      <c r="G6" s="1293"/>
      <c r="H6" s="1293"/>
      <c r="I6" s="1293" t="s">
        <v>28</v>
      </c>
      <c r="J6" s="1293"/>
      <c r="K6" s="1293"/>
      <c r="L6" s="1293"/>
      <c r="M6" s="1244" t="s">
        <v>288</v>
      </c>
    </row>
    <row r="7" spans="1:13" ht="33.75" customHeight="1">
      <c r="A7" s="1279"/>
      <c r="B7" s="1282"/>
      <c r="C7" s="1285"/>
      <c r="D7" s="1288"/>
      <c r="E7" s="1293"/>
      <c r="F7" s="1293"/>
      <c r="G7" s="1293"/>
      <c r="H7" s="1293"/>
      <c r="I7" s="1293"/>
      <c r="J7" s="1293"/>
      <c r="K7" s="1293"/>
      <c r="L7" s="1293"/>
      <c r="M7" s="1298"/>
    </row>
    <row r="8" spans="1:13" ht="41.25" customHeight="1">
      <c r="A8" s="1279"/>
      <c r="B8" s="1282"/>
      <c r="C8" s="1285"/>
      <c r="D8" s="1288"/>
      <c r="E8" s="1294" t="s">
        <v>23</v>
      </c>
      <c r="F8" s="1294"/>
      <c r="G8" s="1294"/>
      <c r="H8" s="1294"/>
      <c r="I8" s="1294" t="s">
        <v>24</v>
      </c>
      <c r="J8" s="1294"/>
      <c r="K8" s="1294"/>
      <c r="L8" s="1294"/>
      <c r="M8" s="1298"/>
    </row>
    <row r="9" spans="1:13" ht="41.25" customHeight="1">
      <c r="A9" s="1280"/>
      <c r="B9" s="1283"/>
      <c r="C9" s="1286"/>
      <c r="D9" s="1289"/>
      <c r="E9" s="333" t="s">
        <v>322</v>
      </c>
      <c r="F9" s="333" t="s">
        <v>319</v>
      </c>
      <c r="G9" s="333" t="s">
        <v>497</v>
      </c>
      <c r="H9" s="605" t="s">
        <v>561</v>
      </c>
      <c r="I9" s="333" t="s">
        <v>322</v>
      </c>
      <c r="J9" s="333" t="s">
        <v>319</v>
      </c>
      <c r="K9" s="333" t="s">
        <v>497</v>
      </c>
      <c r="L9" s="605" t="s">
        <v>561</v>
      </c>
      <c r="M9" s="1245"/>
    </row>
    <row r="10" spans="1:14" ht="26.25" customHeight="1">
      <c r="A10" s="343" t="s">
        <v>1</v>
      </c>
      <c r="B10" s="1290" t="s">
        <v>324</v>
      </c>
      <c r="C10" s="344"/>
      <c r="D10" s="345" t="s">
        <v>25</v>
      </c>
      <c r="E10" s="346">
        <f>+'[1]21.sz. Polgármesteri Hivatal'!D112</f>
        <v>500601</v>
      </c>
      <c r="F10" s="346">
        <v>565666</v>
      </c>
      <c r="G10" s="346">
        <v>526422</v>
      </c>
      <c r="H10" s="606">
        <f>+F10-G10</f>
        <v>39244</v>
      </c>
      <c r="I10" s="609"/>
      <c r="J10" s="346">
        <v>500</v>
      </c>
      <c r="K10" s="346">
        <v>500</v>
      </c>
      <c r="L10" s="610">
        <f>+J10-K10</f>
        <v>0</v>
      </c>
      <c r="M10" s="6" t="s">
        <v>34</v>
      </c>
      <c r="N10" s="498"/>
    </row>
    <row r="11" spans="1:14" ht="26.25" customHeight="1">
      <c r="A11" s="347" t="s">
        <v>2</v>
      </c>
      <c r="B11" s="1291"/>
      <c r="C11" s="348"/>
      <c r="D11" s="349" t="s">
        <v>14</v>
      </c>
      <c r="E11" s="350">
        <f>+'[1]22.sz. Városi Bölcsőde kiadások'!D105</f>
        <v>90163</v>
      </c>
      <c r="F11" s="350">
        <v>103155</v>
      </c>
      <c r="G11" s="350">
        <v>101245</v>
      </c>
      <c r="H11" s="607">
        <f aca="true" t="shared" si="0" ref="H11:H17">+F11-G11</f>
        <v>1910</v>
      </c>
      <c r="I11" s="611"/>
      <c r="J11" s="350">
        <v>0</v>
      </c>
      <c r="K11" s="350"/>
      <c r="L11" s="612">
        <f aca="true" t="shared" si="1" ref="L11:L16">+J11-K11</f>
        <v>0</v>
      </c>
      <c r="M11" s="6" t="s">
        <v>34</v>
      </c>
      <c r="N11" s="498"/>
    </row>
    <row r="12" spans="1:18" ht="26.25" customHeight="1">
      <c r="A12" s="347" t="s">
        <v>3</v>
      </c>
      <c r="B12" s="1291"/>
      <c r="C12" s="348"/>
      <c r="D12" s="349" t="s">
        <v>26</v>
      </c>
      <c r="E12" s="350">
        <f>+'[1]27.sz.Területi kiadások'!D105</f>
        <v>299096</v>
      </c>
      <c r="F12" s="350">
        <v>324469</v>
      </c>
      <c r="G12" s="350">
        <v>273762</v>
      </c>
      <c r="H12" s="607">
        <f t="shared" si="0"/>
        <v>50707</v>
      </c>
      <c r="I12" s="611"/>
      <c r="J12" s="350">
        <v>2082</v>
      </c>
      <c r="K12" s="350">
        <v>2082</v>
      </c>
      <c r="L12" s="612">
        <f t="shared" si="1"/>
        <v>0</v>
      </c>
      <c r="M12" s="6" t="s">
        <v>34</v>
      </c>
      <c r="N12" s="498"/>
      <c r="R12" s="284"/>
    </row>
    <row r="13" spans="1:14" ht="26.25" customHeight="1">
      <c r="A13" s="347" t="s">
        <v>4</v>
      </c>
      <c r="B13" s="1291"/>
      <c r="C13" s="348"/>
      <c r="D13" s="349" t="s">
        <v>12</v>
      </c>
      <c r="E13" s="350">
        <f>+'[1]24.sz. Mese Óvoda'!D90</f>
        <v>304152</v>
      </c>
      <c r="F13" s="350">
        <v>294545</v>
      </c>
      <c r="G13" s="350">
        <v>288890</v>
      </c>
      <c r="H13" s="607">
        <f t="shared" si="0"/>
        <v>5655</v>
      </c>
      <c r="I13" s="611"/>
      <c r="J13" s="350">
        <v>1304</v>
      </c>
      <c r="K13" s="350">
        <v>1304</v>
      </c>
      <c r="L13" s="612">
        <f t="shared" si="1"/>
        <v>0</v>
      </c>
      <c r="M13" s="6" t="s">
        <v>34</v>
      </c>
      <c r="N13" s="498"/>
    </row>
    <row r="14" spans="1:14" ht="26.25" customHeight="1">
      <c r="A14" s="347" t="s">
        <v>5</v>
      </c>
      <c r="B14" s="1291"/>
      <c r="C14" s="348"/>
      <c r="D14" s="349" t="s">
        <v>29</v>
      </c>
      <c r="E14" s="350">
        <f>+'[1]23.sz. Hétszínvirág Óvoda'!D93</f>
        <v>318464</v>
      </c>
      <c r="F14" s="350">
        <v>316347</v>
      </c>
      <c r="G14" s="350">
        <v>307645</v>
      </c>
      <c r="H14" s="607">
        <f t="shared" si="0"/>
        <v>8702</v>
      </c>
      <c r="I14" s="611"/>
      <c r="J14" s="350">
        <v>152</v>
      </c>
      <c r="K14" s="350">
        <v>152</v>
      </c>
      <c r="L14" s="612">
        <f t="shared" si="1"/>
        <v>0</v>
      </c>
      <c r="M14" s="6" t="s">
        <v>34</v>
      </c>
      <c r="N14" s="498"/>
    </row>
    <row r="15" spans="1:14" ht="26.25" customHeight="1">
      <c r="A15" s="347" t="s">
        <v>6</v>
      </c>
      <c r="B15" s="1291"/>
      <c r="C15" s="348"/>
      <c r="D15" s="349" t="s">
        <v>15</v>
      </c>
      <c r="E15" s="350">
        <f>+'[1]26.sz. Városi Könyvtár és JAM'!D100</f>
        <v>50582</v>
      </c>
      <c r="F15" s="350">
        <v>58081</v>
      </c>
      <c r="G15" s="350">
        <v>56908</v>
      </c>
      <c r="H15" s="607">
        <f t="shared" si="0"/>
        <v>1173</v>
      </c>
      <c r="I15" s="611"/>
      <c r="J15" s="350">
        <v>336</v>
      </c>
      <c r="K15" s="350">
        <v>336</v>
      </c>
      <c r="L15" s="612">
        <f t="shared" si="1"/>
        <v>0</v>
      </c>
      <c r="M15" s="6" t="s">
        <v>34</v>
      </c>
      <c r="N15" s="498"/>
    </row>
    <row r="16" spans="1:14" ht="26.25" customHeight="1">
      <c r="A16" s="351" t="s">
        <v>7</v>
      </c>
      <c r="B16" s="1292"/>
      <c r="C16" s="352"/>
      <c r="D16" s="353" t="s">
        <v>13</v>
      </c>
      <c r="E16" s="354">
        <f>+'[1]25.sz. Gyermekjóléti kiadások'!D89</f>
        <v>41156</v>
      </c>
      <c r="F16" s="354">
        <v>41367</v>
      </c>
      <c r="G16" s="354">
        <v>39829</v>
      </c>
      <c r="H16" s="608">
        <f t="shared" si="0"/>
        <v>1538</v>
      </c>
      <c r="I16" s="613"/>
      <c r="J16" s="354">
        <f>SUM(I16:I16)</f>
        <v>0</v>
      </c>
      <c r="K16" s="354"/>
      <c r="L16" s="614">
        <f t="shared" si="1"/>
        <v>0</v>
      </c>
      <c r="M16" s="6" t="s">
        <v>34</v>
      </c>
      <c r="N16" s="498"/>
    </row>
    <row r="17" spans="1:14" s="8" customFormat="1" ht="26.25" customHeight="1">
      <c r="A17" s="1275" t="s">
        <v>27</v>
      </c>
      <c r="B17" s="1276"/>
      <c r="C17" s="1276"/>
      <c r="D17" s="1277"/>
      <c r="E17" s="7">
        <f aca="true" t="shared" si="2" ref="E17:K17">SUM(E10:E16)</f>
        <v>1604214</v>
      </c>
      <c r="F17" s="7">
        <f t="shared" si="2"/>
        <v>1703630</v>
      </c>
      <c r="G17" s="7">
        <f t="shared" si="2"/>
        <v>1594701</v>
      </c>
      <c r="H17" s="949">
        <f t="shared" si="0"/>
        <v>108929</v>
      </c>
      <c r="I17" s="7">
        <f t="shared" si="2"/>
        <v>0</v>
      </c>
      <c r="J17" s="7">
        <f t="shared" si="2"/>
        <v>4374</v>
      </c>
      <c r="K17" s="7">
        <f t="shared" si="2"/>
        <v>4374</v>
      </c>
      <c r="L17" s="950">
        <f>+J17-K17</f>
        <v>0</v>
      </c>
      <c r="M17" s="284"/>
      <c r="N17" s="1380"/>
    </row>
    <row r="18" ht="15.75">
      <c r="L18" s="948"/>
    </row>
    <row r="19" ht="15.75">
      <c r="J19" s="498">
        <f>+F17+J17</f>
        <v>1708004</v>
      </c>
    </row>
    <row r="20" spans="7:8" ht="15.75">
      <c r="G20" s="498">
        <f>+G17+K17</f>
        <v>1599075</v>
      </c>
      <c r="H20" s="498"/>
    </row>
  </sheetData>
  <sheetProtection/>
  <mergeCells count="14">
    <mergeCell ref="I6:L7"/>
    <mergeCell ref="I8:L8"/>
    <mergeCell ref="A1:M1"/>
    <mergeCell ref="A2:M2"/>
    <mergeCell ref="A3:M3"/>
    <mergeCell ref="M6:M9"/>
    <mergeCell ref="E6:H7"/>
    <mergeCell ref="E8:H8"/>
    <mergeCell ref="A17:D17"/>
    <mergeCell ref="A6:A9"/>
    <mergeCell ref="B6:B9"/>
    <mergeCell ref="C6:C9"/>
    <mergeCell ref="D6:D9"/>
    <mergeCell ref="B10:B16"/>
  </mergeCells>
  <printOptions horizontalCentered="1" verticalCentered="1"/>
  <pageMargins left="0.28" right="0.3" top="0.31496062992125984" bottom="0.35433070866141736" header="0.15748031496062992" footer="0.15748031496062992"/>
  <pageSetup horizontalDpi="600" verticalDpi="600" orientation="landscape" paperSize="9" scale="73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18"/>
  <sheetViews>
    <sheetView view="pageLayout" workbookViewId="0" topLeftCell="A13">
      <selection activeCell="A2" sqref="A2:AA2"/>
    </sheetView>
  </sheetViews>
  <sheetFormatPr defaultColWidth="9.00390625" defaultRowHeight="12.75"/>
  <cols>
    <col min="1" max="1" width="3.00390625" style="0" customWidth="1"/>
    <col min="4" max="4" width="45.125" style="0" bestFit="1" customWidth="1"/>
    <col min="5" max="5" width="6.625" style="0" bestFit="1" customWidth="1"/>
    <col min="8" max="22" width="12.125" style="0" customWidth="1"/>
    <col min="23" max="23" width="4.125" style="0" customWidth="1"/>
  </cols>
  <sheetData>
    <row r="1" spans="1:27" s="114" customFormat="1" ht="22.5" customHeight="1">
      <c r="A1" s="1337" t="s">
        <v>16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</row>
    <row r="2" spans="1:27" s="114" customFormat="1" ht="22.5" customHeight="1">
      <c r="A2" s="1338" t="s">
        <v>369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  <c r="U2" s="1338"/>
      <c r="V2" s="1338"/>
      <c r="W2" s="1338"/>
      <c r="X2" s="1338"/>
      <c r="Y2" s="1338"/>
      <c r="Z2" s="1338"/>
      <c r="AA2" s="1338"/>
    </row>
    <row r="3" spans="1:27" s="114" customFormat="1" ht="22.5" customHeight="1">
      <c r="A3" s="1339" t="s">
        <v>558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39"/>
      <c r="X3" s="1339"/>
      <c r="Y3" s="1339"/>
      <c r="Z3" s="1339"/>
      <c r="AA3" s="1339"/>
    </row>
    <row r="4" spans="8:27" s="115" customFormat="1" ht="15">
      <c r="H4" s="114"/>
      <c r="I4" s="114"/>
      <c r="J4" s="114"/>
      <c r="Z4" s="1340" t="s">
        <v>18</v>
      </c>
      <c r="AA4" s="1340"/>
    </row>
    <row r="5" spans="1:28" s="116" customFormat="1" ht="47.25" customHeight="1">
      <c r="A5" s="1307" t="s">
        <v>67</v>
      </c>
      <c r="B5" s="1335" t="s">
        <v>68</v>
      </c>
      <c r="C5" s="1308" t="s">
        <v>69</v>
      </c>
      <c r="D5" s="1336" t="s">
        <v>21</v>
      </c>
      <c r="E5" s="1304" t="s">
        <v>70</v>
      </c>
      <c r="F5" s="355" t="s">
        <v>71</v>
      </c>
      <c r="G5" s="1193" t="s">
        <v>72</v>
      </c>
      <c r="H5" s="1321" t="s">
        <v>370</v>
      </c>
      <c r="I5" s="1322"/>
      <c r="J5" s="1323"/>
      <c r="K5" s="1311" t="s">
        <v>74</v>
      </c>
      <c r="L5" s="1312"/>
      <c r="M5" s="1313"/>
      <c r="N5" s="1311" t="s">
        <v>75</v>
      </c>
      <c r="O5" s="1312"/>
      <c r="P5" s="1313"/>
      <c r="Q5" s="1311" t="s">
        <v>76</v>
      </c>
      <c r="R5" s="1312"/>
      <c r="S5" s="1313"/>
      <c r="T5" s="1317" t="s">
        <v>77</v>
      </c>
      <c r="U5" s="1317"/>
      <c r="V5" s="1317"/>
      <c r="X5" s="1132" t="s">
        <v>78</v>
      </c>
      <c r="Y5" s="1132"/>
      <c r="Z5" s="1132"/>
      <c r="AA5" s="1318" t="s">
        <v>79</v>
      </c>
      <c r="AB5" s="1095" t="s">
        <v>288</v>
      </c>
    </row>
    <row r="6" spans="1:28" s="116" customFormat="1" ht="30" customHeight="1">
      <c r="A6" s="1307"/>
      <c r="B6" s="1335"/>
      <c r="C6" s="1309"/>
      <c r="D6" s="1336"/>
      <c r="E6" s="1305"/>
      <c r="F6" s="1342" t="s">
        <v>80</v>
      </c>
      <c r="G6" s="1193"/>
      <c r="H6" s="1324"/>
      <c r="I6" s="1325"/>
      <c r="J6" s="1326"/>
      <c r="K6" s="1314"/>
      <c r="L6" s="1315"/>
      <c r="M6" s="1316"/>
      <c r="N6" s="1314"/>
      <c r="O6" s="1315"/>
      <c r="P6" s="1316"/>
      <c r="Q6" s="1314"/>
      <c r="R6" s="1315"/>
      <c r="S6" s="1316"/>
      <c r="T6" s="1317"/>
      <c r="U6" s="1317"/>
      <c r="V6" s="1317"/>
      <c r="X6" s="1343" t="s">
        <v>81</v>
      </c>
      <c r="Y6" s="1343" t="s">
        <v>82</v>
      </c>
      <c r="Z6" s="1343" t="s">
        <v>83</v>
      </c>
      <c r="AA6" s="1319"/>
      <c r="AB6" s="1341"/>
    </row>
    <row r="7" spans="1:28" s="116" customFormat="1" ht="49.5" customHeight="1">
      <c r="A7" s="1307"/>
      <c r="B7" s="117" t="s">
        <v>84</v>
      </c>
      <c r="C7" s="1310"/>
      <c r="D7" s="1336"/>
      <c r="E7" s="1306"/>
      <c r="F7" s="1342"/>
      <c r="G7" s="1193"/>
      <c r="H7" s="472" t="s">
        <v>322</v>
      </c>
      <c r="I7" s="472" t="s">
        <v>319</v>
      </c>
      <c r="J7" s="472" t="s">
        <v>497</v>
      </c>
      <c r="K7" s="472" t="s">
        <v>322</v>
      </c>
      <c r="L7" s="472" t="s">
        <v>319</v>
      </c>
      <c r="M7" s="472" t="s">
        <v>497</v>
      </c>
      <c r="N7" s="472" t="s">
        <v>322</v>
      </c>
      <c r="O7" s="472" t="s">
        <v>319</v>
      </c>
      <c r="P7" s="472" t="s">
        <v>497</v>
      </c>
      <c r="Q7" s="472" t="s">
        <v>322</v>
      </c>
      <c r="R7" s="472" t="s">
        <v>319</v>
      </c>
      <c r="S7" s="472" t="s">
        <v>497</v>
      </c>
      <c r="T7" s="472" t="s">
        <v>322</v>
      </c>
      <c r="U7" s="472" t="s">
        <v>319</v>
      </c>
      <c r="V7" s="472" t="s">
        <v>497</v>
      </c>
      <c r="X7" s="1344"/>
      <c r="Y7" s="1344"/>
      <c r="Z7" s="1344"/>
      <c r="AA7" s="1319"/>
      <c r="AB7" s="1341"/>
    </row>
    <row r="8" spans="1:28" s="116" customFormat="1" ht="30" customHeight="1">
      <c r="A8" s="1332" t="s">
        <v>45</v>
      </c>
      <c r="B8" s="1333"/>
      <c r="C8" s="1333"/>
      <c r="D8" s="1334"/>
      <c r="E8" s="357"/>
      <c r="F8" s="356"/>
      <c r="G8" s="355"/>
      <c r="H8" s="334"/>
      <c r="I8" s="334"/>
      <c r="J8" s="445"/>
      <c r="K8" s="1299" t="s">
        <v>478</v>
      </c>
      <c r="L8" s="1300"/>
      <c r="M8" s="1301"/>
      <c r="N8" s="1299" t="s">
        <v>480</v>
      </c>
      <c r="O8" s="1300"/>
      <c r="P8" s="1301"/>
      <c r="Q8" s="1302" t="s">
        <v>479</v>
      </c>
      <c r="R8" s="1303"/>
      <c r="S8" s="1303"/>
      <c r="T8" s="1299" t="s">
        <v>481</v>
      </c>
      <c r="U8" s="1300"/>
      <c r="V8" s="1301"/>
      <c r="X8" s="1345"/>
      <c r="Y8" s="1345"/>
      <c r="Z8" s="1345"/>
      <c r="AA8" s="1320"/>
      <c r="AB8" s="1096"/>
    </row>
    <row r="9" spans="1:28" s="120" customFormat="1" ht="30" customHeight="1">
      <c r="A9" s="118" t="s">
        <v>1</v>
      </c>
      <c r="B9" s="118" t="s">
        <v>2</v>
      </c>
      <c r="C9" s="118" t="s">
        <v>3</v>
      </c>
      <c r="D9" s="118" t="s">
        <v>4</v>
      </c>
      <c r="E9" s="118" t="s">
        <v>5</v>
      </c>
      <c r="F9" s="118" t="s">
        <v>6</v>
      </c>
      <c r="G9" s="118" t="s">
        <v>7</v>
      </c>
      <c r="H9" s="118" t="s">
        <v>8</v>
      </c>
      <c r="I9" s="118" t="s">
        <v>9</v>
      </c>
      <c r="J9" s="118" t="s">
        <v>10</v>
      </c>
      <c r="K9" s="118" t="s">
        <v>11</v>
      </c>
      <c r="L9" s="118" t="s">
        <v>57</v>
      </c>
      <c r="M9" s="118" t="s">
        <v>58</v>
      </c>
      <c r="N9" s="118" t="s">
        <v>59</v>
      </c>
      <c r="O9" s="118" t="s">
        <v>60</v>
      </c>
      <c r="P9" s="118" t="s">
        <v>61</v>
      </c>
      <c r="Q9" s="118" t="s">
        <v>62</v>
      </c>
      <c r="R9" s="118" t="s">
        <v>63</v>
      </c>
      <c r="S9" s="471" t="s">
        <v>64</v>
      </c>
      <c r="T9" s="118" t="s">
        <v>65</v>
      </c>
      <c r="U9" s="118" t="s">
        <v>302</v>
      </c>
      <c r="V9" s="118" t="s">
        <v>303</v>
      </c>
      <c r="W9" s="119"/>
      <c r="X9" s="118" t="s">
        <v>65</v>
      </c>
      <c r="Y9" s="118" t="s">
        <v>302</v>
      </c>
      <c r="Z9" s="118" t="s">
        <v>303</v>
      </c>
      <c r="AA9" s="118" t="s">
        <v>304</v>
      </c>
      <c r="AB9" s="118" t="s">
        <v>305</v>
      </c>
    </row>
    <row r="10" spans="1:28" s="114" customFormat="1" ht="23.25" customHeight="1">
      <c r="A10" s="604" t="s">
        <v>372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4"/>
      <c r="M10" s="473"/>
      <c r="N10" s="475"/>
      <c r="O10" s="473"/>
      <c r="P10" s="473"/>
      <c r="Q10" s="473"/>
      <c r="R10" s="473"/>
      <c r="S10" s="473"/>
      <c r="T10" s="1327"/>
      <c r="U10" s="1328"/>
      <c r="V10" s="1329"/>
      <c r="X10" s="292"/>
      <c r="Y10" s="121"/>
      <c r="Z10" s="121"/>
      <c r="AA10" s="121"/>
      <c r="AB10" s="121"/>
    </row>
    <row r="11" spans="1:28" s="115" customFormat="1" ht="39" customHeight="1">
      <c r="A11" s="135" t="s">
        <v>1</v>
      </c>
      <c r="B11" s="390" t="s">
        <v>345</v>
      </c>
      <c r="C11" s="476"/>
      <c r="D11" s="136" t="s">
        <v>373</v>
      </c>
      <c r="E11" s="419">
        <v>4046</v>
      </c>
      <c r="F11" s="137"/>
      <c r="G11" s="137"/>
      <c r="H11" s="138"/>
      <c r="I11" s="138">
        <f>+L11+U11</f>
        <v>6027</v>
      </c>
      <c r="J11" s="138">
        <f aca="true" t="shared" si="0" ref="J11:J17">+M11+P11+S11+V11</f>
        <v>6026</v>
      </c>
      <c r="K11" s="139"/>
      <c r="L11" s="139">
        <f>4746</f>
        <v>4746</v>
      </c>
      <c r="M11" s="139">
        <v>4745</v>
      </c>
      <c r="N11" s="139"/>
      <c r="O11" s="139"/>
      <c r="P11" s="139"/>
      <c r="Q11" s="139"/>
      <c r="R11" s="139"/>
      <c r="S11" s="139"/>
      <c r="T11" s="139"/>
      <c r="U11" s="139">
        <v>1281</v>
      </c>
      <c r="V11" s="140">
        <v>1281</v>
      </c>
      <c r="X11" s="122"/>
      <c r="Y11" s="127"/>
      <c r="Z11" s="123"/>
      <c r="AA11" s="128"/>
      <c r="AB11" s="129" t="s">
        <v>34</v>
      </c>
    </row>
    <row r="12" spans="1:28" s="115" customFormat="1" ht="39" customHeight="1">
      <c r="A12" s="122" t="s">
        <v>2</v>
      </c>
      <c r="B12" s="388" t="s">
        <v>454</v>
      </c>
      <c r="C12" s="418"/>
      <c r="D12" s="134" t="s">
        <v>453</v>
      </c>
      <c r="E12" s="134" t="s">
        <v>516</v>
      </c>
      <c r="F12" s="123"/>
      <c r="G12" s="123"/>
      <c r="H12" s="124"/>
      <c r="I12" s="124">
        <f>+L12+U12</f>
        <v>6030</v>
      </c>
      <c r="J12" s="124">
        <f t="shared" si="0"/>
        <v>6029</v>
      </c>
      <c r="K12" s="125"/>
      <c r="L12" s="125">
        <v>4748</v>
      </c>
      <c r="M12" s="125">
        <v>4747</v>
      </c>
      <c r="N12" s="125"/>
      <c r="O12" s="125"/>
      <c r="P12" s="125"/>
      <c r="Q12" s="125"/>
      <c r="R12" s="125"/>
      <c r="S12" s="125"/>
      <c r="T12" s="125"/>
      <c r="U12" s="125">
        <v>1282</v>
      </c>
      <c r="V12" s="126">
        <v>1282</v>
      </c>
      <c r="X12" s="122"/>
      <c r="Y12" s="127"/>
      <c r="Z12" s="123"/>
      <c r="AA12" s="128"/>
      <c r="AB12" s="129" t="s">
        <v>34</v>
      </c>
    </row>
    <row r="13" spans="1:28" s="115" customFormat="1" ht="39" customHeight="1">
      <c r="A13" s="122" t="s">
        <v>3</v>
      </c>
      <c r="B13" s="388" t="s">
        <v>353</v>
      </c>
      <c r="C13" s="418"/>
      <c r="D13" s="134" t="s">
        <v>553</v>
      </c>
      <c r="E13" s="285">
        <v>4069</v>
      </c>
      <c r="F13" s="123"/>
      <c r="G13" s="123"/>
      <c r="H13" s="124"/>
      <c r="I13" s="124">
        <f>+L13+U13</f>
        <v>7774</v>
      </c>
      <c r="J13" s="124">
        <f t="shared" si="0"/>
        <v>7773</v>
      </c>
      <c r="K13" s="125"/>
      <c r="L13" s="125">
        <v>6121</v>
      </c>
      <c r="M13" s="125">
        <v>6121</v>
      </c>
      <c r="N13" s="125"/>
      <c r="O13" s="125"/>
      <c r="P13" s="125"/>
      <c r="Q13" s="125"/>
      <c r="R13" s="125"/>
      <c r="S13" s="125"/>
      <c r="T13" s="125"/>
      <c r="U13" s="125">
        <v>1653</v>
      </c>
      <c r="V13" s="126">
        <v>1652</v>
      </c>
      <c r="X13" s="416"/>
      <c r="Y13" s="378"/>
      <c r="Z13" s="417"/>
      <c r="AA13" s="381"/>
      <c r="AB13" s="382"/>
    </row>
    <row r="14" spans="1:28" s="115" customFormat="1" ht="39" customHeight="1">
      <c r="A14" s="122" t="s">
        <v>4</v>
      </c>
      <c r="B14" s="389" t="s">
        <v>351</v>
      </c>
      <c r="C14" s="497"/>
      <c r="D14" s="158" t="s">
        <v>554</v>
      </c>
      <c r="E14" s="286">
        <v>4073</v>
      </c>
      <c r="F14" s="379"/>
      <c r="G14" s="379"/>
      <c r="H14" s="380"/>
      <c r="I14" s="124">
        <f>+L14+U14</f>
        <v>3244</v>
      </c>
      <c r="J14" s="124">
        <f t="shared" si="0"/>
        <v>3244</v>
      </c>
      <c r="K14" s="159"/>
      <c r="L14" s="159">
        <v>2554</v>
      </c>
      <c r="M14" s="159">
        <v>2554</v>
      </c>
      <c r="N14" s="159"/>
      <c r="O14" s="159"/>
      <c r="P14" s="159"/>
      <c r="Q14" s="159"/>
      <c r="R14" s="159"/>
      <c r="S14" s="159"/>
      <c r="T14" s="159"/>
      <c r="U14" s="159">
        <v>690</v>
      </c>
      <c r="V14" s="422">
        <v>690</v>
      </c>
      <c r="X14" s="416"/>
      <c r="Y14" s="378"/>
      <c r="Z14" s="417"/>
      <c r="AA14" s="381"/>
      <c r="AB14" s="382"/>
    </row>
    <row r="15" spans="1:28" s="115" customFormat="1" ht="39" customHeight="1">
      <c r="A15" s="122" t="s">
        <v>5</v>
      </c>
      <c r="B15" s="389" t="s">
        <v>532</v>
      </c>
      <c r="C15" s="497"/>
      <c r="D15" s="158" t="s">
        <v>555</v>
      </c>
      <c r="E15" s="286">
        <v>4080</v>
      </c>
      <c r="F15" s="379"/>
      <c r="G15" s="379"/>
      <c r="H15" s="380"/>
      <c r="I15" s="124">
        <f>+L15+U15+O15+R15</f>
        <v>8000</v>
      </c>
      <c r="J15" s="124">
        <f t="shared" si="0"/>
        <v>7161</v>
      </c>
      <c r="K15" s="159"/>
      <c r="L15" s="159">
        <v>0</v>
      </c>
      <c r="M15" s="159"/>
      <c r="N15" s="159"/>
      <c r="O15" s="159"/>
      <c r="P15" s="159"/>
      <c r="Q15" s="159"/>
      <c r="R15" s="159">
        <v>6000</v>
      </c>
      <c r="S15" s="159">
        <f>5639-1</f>
        <v>5638</v>
      </c>
      <c r="T15" s="159"/>
      <c r="U15" s="159">
        <v>2000</v>
      </c>
      <c r="V15" s="422">
        <f>1522+1</f>
        <v>1523</v>
      </c>
      <c r="X15" s="416"/>
      <c r="Y15" s="378"/>
      <c r="Z15" s="417"/>
      <c r="AA15" s="381"/>
      <c r="AB15" s="382"/>
    </row>
    <row r="16" spans="1:28" s="115" customFormat="1" ht="39" customHeight="1">
      <c r="A16" s="122" t="s">
        <v>6</v>
      </c>
      <c r="B16" s="389" t="s">
        <v>328</v>
      </c>
      <c r="C16" s="497"/>
      <c r="D16" s="158" t="s">
        <v>556</v>
      </c>
      <c r="E16" s="286">
        <v>4082</v>
      </c>
      <c r="F16" s="379"/>
      <c r="G16" s="379"/>
      <c r="H16" s="380"/>
      <c r="I16" s="124">
        <f>+L16+U16</f>
        <v>4445</v>
      </c>
      <c r="J16" s="124">
        <f t="shared" si="0"/>
        <v>0</v>
      </c>
      <c r="K16" s="159"/>
      <c r="L16" s="159">
        <v>3500</v>
      </c>
      <c r="M16" s="159"/>
      <c r="N16" s="159"/>
      <c r="O16" s="159"/>
      <c r="P16" s="159"/>
      <c r="Q16" s="159"/>
      <c r="R16" s="159"/>
      <c r="S16" s="159"/>
      <c r="T16" s="159"/>
      <c r="U16" s="159">
        <v>945</v>
      </c>
      <c r="V16" s="422"/>
      <c r="X16" s="416"/>
      <c r="Y16" s="378"/>
      <c r="Z16" s="417"/>
      <c r="AA16" s="381"/>
      <c r="AB16" s="382"/>
    </row>
    <row r="17" spans="1:28" s="115" customFormat="1" ht="39" customHeight="1">
      <c r="A17" s="141" t="s">
        <v>7</v>
      </c>
      <c r="B17" s="377" t="s">
        <v>326</v>
      </c>
      <c r="C17" s="406"/>
      <c r="D17" s="293" t="s">
        <v>483</v>
      </c>
      <c r="E17" s="293" t="s">
        <v>517</v>
      </c>
      <c r="F17" s="142"/>
      <c r="G17" s="142"/>
      <c r="H17" s="143"/>
      <c r="I17" s="143">
        <f>+L17+U17</f>
        <v>6016</v>
      </c>
      <c r="J17" s="143">
        <f t="shared" si="0"/>
        <v>543</v>
      </c>
      <c r="K17" s="144"/>
      <c r="L17" s="144">
        <v>4737</v>
      </c>
      <c r="M17" s="144">
        <v>428</v>
      </c>
      <c r="N17" s="144"/>
      <c r="O17" s="144"/>
      <c r="P17" s="144"/>
      <c r="Q17" s="144"/>
      <c r="R17" s="144"/>
      <c r="S17" s="144"/>
      <c r="T17" s="144"/>
      <c r="U17" s="144">
        <v>1279</v>
      </c>
      <c r="V17" s="145">
        <v>115</v>
      </c>
      <c r="X17" s="416"/>
      <c r="Y17" s="378"/>
      <c r="Z17" s="417"/>
      <c r="AA17" s="381"/>
      <c r="AB17" s="382"/>
    </row>
    <row r="18" spans="1:28" s="115" customFormat="1" ht="39" customHeight="1">
      <c r="A18" s="1330"/>
      <c r="B18" s="1331"/>
      <c r="C18" s="155"/>
      <c r="D18" s="478" t="s">
        <v>371</v>
      </c>
      <c r="E18" s="477"/>
      <c r="F18" s="147"/>
      <c r="G18" s="147"/>
      <c r="H18" s="147">
        <f>SUM(H11:H17)</f>
        <v>0</v>
      </c>
      <c r="I18" s="147">
        <f aca="true" t="shared" si="1" ref="I18:V18">SUM(I11:I17)</f>
        <v>41536</v>
      </c>
      <c r="J18" s="147">
        <f t="shared" si="1"/>
        <v>30776</v>
      </c>
      <c r="K18" s="147">
        <f t="shared" si="1"/>
        <v>0</v>
      </c>
      <c r="L18" s="147">
        <f t="shared" si="1"/>
        <v>26406</v>
      </c>
      <c r="M18" s="147">
        <f t="shared" si="1"/>
        <v>18595</v>
      </c>
      <c r="N18" s="147">
        <f t="shared" si="1"/>
        <v>0</v>
      </c>
      <c r="O18" s="147">
        <f t="shared" si="1"/>
        <v>0</v>
      </c>
      <c r="P18" s="147">
        <f t="shared" si="1"/>
        <v>0</v>
      </c>
      <c r="Q18" s="147">
        <f t="shared" si="1"/>
        <v>0</v>
      </c>
      <c r="R18" s="147">
        <f t="shared" si="1"/>
        <v>6000</v>
      </c>
      <c r="S18" s="147">
        <f t="shared" si="1"/>
        <v>5638</v>
      </c>
      <c r="T18" s="147">
        <f t="shared" si="1"/>
        <v>0</v>
      </c>
      <c r="U18" s="147">
        <f t="shared" si="1"/>
        <v>9130</v>
      </c>
      <c r="V18" s="148">
        <f t="shared" si="1"/>
        <v>6543</v>
      </c>
      <c r="X18" s="288">
        <f>SUM(X12:X12)</f>
        <v>0</v>
      </c>
      <c r="Y18" s="130">
        <f>SUM(Y12:Y12)</f>
        <v>0</v>
      </c>
      <c r="Z18" s="130">
        <f>SUM(Z12:Z12)</f>
        <v>0</v>
      </c>
      <c r="AA18" s="131"/>
      <c r="AB18" s="132"/>
    </row>
  </sheetData>
  <sheetProtection/>
  <mergeCells count="29">
    <mergeCell ref="A1:AA1"/>
    <mergeCell ref="A2:AA2"/>
    <mergeCell ref="A3:AA3"/>
    <mergeCell ref="Z4:AA4"/>
    <mergeCell ref="AB5:AB8"/>
    <mergeCell ref="F6:F7"/>
    <mergeCell ref="X6:X8"/>
    <mergeCell ref="Y6:Y8"/>
    <mergeCell ref="Z6:Z8"/>
    <mergeCell ref="X5:Z5"/>
    <mergeCell ref="AA5:AA8"/>
    <mergeCell ref="K5:M6"/>
    <mergeCell ref="H5:J6"/>
    <mergeCell ref="K8:M8"/>
    <mergeCell ref="T10:V10"/>
    <mergeCell ref="A18:B18"/>
    <mergeCell ref="A8:D8"/>
    <mergeCell ref="B5:B6"/>
    <mergeCell ref="G5:G7"/>
    <mergeCell ref="D5:D7"/>
    <mergeCell ref="N8:P8"/>
    <mergeCell ref="Q8:S8"/>
    <mergeCell ref="T8:V8"/>
    <mergeCell ref="E5:E7"/>
    <mergeCell ref="A5:A7"/>
    <mergeCell ref="C5:C7"/>
    <mergeCell ref="N5:P6"/>
    <mergeCell ref="Q5:S6"/>
    <mergeCell ref="T5:V6"/>
  </mergeCells>
  <printOptions horizontalCentered="1" verticalCentered="1"/>
  <pageMargins left="0.35433070866141736" right="0.15748031496062992" top="0.4724409448818898" bottom="0.7480314960629921" header="0.31496062992125984" footer="0.31496062992125984"/>
  <pageSetup fitToHeight="1" fitToWidth="1" horizontalDpi="600" verticalDpi="600" orientation="landscape" paperSize="9" scale="44" r:id="rId1"/>
  <headerFooter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Layout" workbookViewId="0" topLeftCell="A49">
      <selection activeCell="A63" sqref="A63:F63"/>
    </sheetView>
  </sheetViews>
  <sheetFormatPr defaultColWidth="9.00390625" defaultRowHeight="12.75"/>
  <cols>
    <col min="2" max="2" width="137.625" style="0" customWidth="1"/>
    <col min="3" max="3" width="11.125" style="0" bestFit="1" customWidth="1"/>
    <col min="4" max="4" width="11.625" style="0" bestFit="1" customWidth="1"/>
    <col min="5" max="6" width="12.875" style="0" bestFit="1" customWidth="1"/>
    <col min="7" max="7" width="19.125" style="0" bestFit="1" customWidth="1"/>
    <col min="8" max="9" width="21.25390625" style="0" bestFit="1" customWidth="1"/>
  </cols>
  <sheetData>
    <row r="1" spans="1:9" ht="21" customHeight="1">
      <c r="A1" s="1346" t="s">
        <v>562</v>
      </c>
      <c r="B1" s="1346"/>
      <c r="C1" s="1346"/>
      <c r="D1" s="1346"/>
      <c r="E1" s="1346"/>
      <c r="F1" s="1346"/>
      <c r="G1" s="1346"/>
      <c r="H1" s="1346"/>
      <c r="I1" s="1346"/>
    </row>
    <row r="2" spans="1:9" ht="12.75">
      <c r="A2" s="615"/>
      <c r="B2" s="615"/>
      <c r="C2" s="615"/>
      <c r="D2" s="616"/>
      <c r="E2" s="615"/>
      <c r="F2" s="615"/>
      <c r="G2" s="615"/>
      <c r="H2" s="615"/>
      <c r="I2" s="615"/>
    </row>
    <row r="3" spans="1:9" ht="75">
      <c r="A3" s="617" t="s">
        <v>563</v>
      </c>
      <c r="B3" s="618" t="s">
        <v>21</v>
      </c>
      <c r="C3" s="619" t="s">
        <v>564</v>
      </c>
      <c r="D3" s="620" t="s">
        <v>565</v>
      </c>
      <c r="E3" s="619" t="s">
        <v>566</v>
      </c>
      <c r="F3" s="619" t="s">
        <v>567</v>
      </c>
      <c r="G3" s="619" t="s">
        <v>568</v>
      </c>
      <c r="H3" s="621" t="s">
        <v>569</v>
      </c>
      <c r="I3" s="622" t="s">
        <v>497</v>
      </c>
    </row>
    <row r="4" spans="1:9" ht="18.75" customHeight="1">
      <c r="A4" s="1347" t="s">
        <v>570</v>
      </c>
      <c r="B4" s="1348"/>
      <c r="C4" s="1348"/>
      <c r="D4" s="1348"/>
      <c r="E4" s="1348"/>
      <c r="F4" s="1348"/>
      <c r="G4" s="1348"/>
      <c r="H4" s="623"/>
      <c r="I4" s="624"/>
    </row>
    <row r="5" spans="1:9" ht="15.75">
      <c r="A5" s="625" t="s">
        <v>571</v>
      </c>
      <c r="B5" s="626" t="s">
        <v>572</v>
      </c>
      <c r="C5" s="1349">
        <v>28224450</v>
      </c>
      <c r="D5" s="1349"/>
      <c r="E5" s="1349"/>
      <c r="F5" s="1349"/>
      <c r="G5" s="1349"/>
      <c r="H5" s="627">
        <f>+C5</f>
        <v>28224450</v>
      </c>
      <c r="I5" s="1350">
        <v>43266754</v>
      </c>
    </row>
    <row r="6" spans="1:9" ht="15">
      <c r="A6" s="628" t="s">
        <v>573</v>
      </c>
      <c r="B6" s="629" t="s">
        <v>574</v>
      </c>
      <c r="C6" s="1352">
        <v>15042304</v>
      </c>
      <c r="D6" s="1352"/>
      <c r="E6" s="1353"/>
      <c r="F6" s="1353"/>
      <c r="G6" s="1353"/>
      <c r="H6" s="630">
        <f>+C6</f>
        <v>15042304</v>
      </c>
      <c r="I6" s="1351"/>
    </row>
    <row r="7" spans="1:9" ht="15">
      <c r="A7" s="1354" t="s">
        <v>575</v>
      </c>
      <c r="B7" s="1355"/>
      <c r="C7" s="1352">
        <f>SUM(C5:G6)</f>
        <v>43266754</v>
      </c>
      <c r="D7" s="1352"/>
      <c r="E7" s="1352"/>
      <c r="F7" s="1352"/>
      <c r="G7" s="1352"/>
      <c r="H7" s="630">
        <f>SUM(H5:H6)</f>
        <v>43266754</v>
      </c>
      <c r="I7" s="631">
        <f>+I5</f>
        <v>43266754</v>
      </c>
    </row>
    <row r="8" spans="1:9" ht="15.75">
      <c r="A8" s="625" t="s">
        <v>576</v>
      </c>
      <c r="B8" s="626" t="s">
        <v>577</v>
      </c>
      <c r="C8" s="1349">
        <f>+C9+C17</f>
        <v>407850239</v>
      </c>
      <c r="D8" s="1349"/>
      <c r="E8" s="1349"/>
      <c r="F8" s="1349"/>
      <c r="G8" s="1349"/>
      <c r="H8" s="630">
        <f>+H9+H17</f>
        <v>406884853.3333333</v>
      </c>
      <c r="I8" s="630">
        <f>+I9+I17</f>
        <v>406884853</v>
      </c>
    </row>
    <row r="9" spans="1:9" ht="15">
      <c r="A9" s="628" t="s">
        <v>578</v>
      </c>
      <c r="B9" s="629" t="s">
        <v>579</v>
      </c>
      <c r="C9" s="1356">
        <f>+G11+G12+G14+G15+G16</f>
        <v>354930240</v>
      </c>
      <c r="D9" s="1356"/>
      <c r="E9" s="1356"/>
      <c r="F9" s="1356"/>
      <c r="G9" s="1356"/>
      <c r="H9" s="630">
        <f>+H11+H12+H14+H15+H16</f>
        <v>354860853.3333333</v>
      </c>
      <c r="I9" s="630">
        <f>+I11+I12+I14+I15+I16</f>
        <v>354860853</v>
      </c>
    </row>
    <row r="10" spans="1:9" ht="15">
      <c r="A10" s="625"/>
      <c r="B10" s="1357" t="s">
        <v>580</v>
      </c>
      <c r="C10" s="1357"/>
      <c r="D10" s="1357"/>
      <c r="E10" s="1357"/>
      <c r="F10" s="1357"/>
      <c r="G10" s="1357"/>
      <c r="H10" s="632"/>
      <c r="I10" s="633"/>
    </row>
    <row r="11" spans="1:9" ht="15">
      <c r="A11" s="634"/>
      <c r="B11" s="635" t="s">
        <v>581</v>
      </c>
      <c r="C11" s="636">
        <f>66.4+2.7-0.2</f>
        <v>68.9</v>
      </c>
      <c r="D11" s="637">
        <v>68.9</v>
      </c>
      <c r="E11" s="638">
        <v>4012000</v>
      </c>
      <c r="F11" s="638">
        <f>+E11/12*8</f>
        <v>2674666.6666666665</v>
      </c>
      <c r="G11" s="639">
        <v>177597867</v>
      </c>
      <c r="H11" s="632">
        <f>+D11*F11</f>
        <v>184284533.33333334</v>
      </c>
      <c r="I11" s="633">
        <v>184284533</v>
      </c>
    </row>
    <row r="12" spans="1:9" ht="15">
      <c r="A12" s="634"/>
      <c r="B12" s="635" t="s">
        <v>582</v>
      </c>
      <c r="C12" s="636">
        <v>37</v>
      </c>
      <c r="D12" s="637">
        <v>37</v>
      </c>
      <c r="E12" s="638">
        <v>1800000</v>
      </c>
      <c r="F12" s="638">
        <f>+E12/12*8</f>
        <v>1200000</v>
      </c>
      <c r="G12" s="639">
        <v>44400000</v>
      </c>
      <c r="H12" s="632">
        <f>+D12*F12</f>
        <v>44400000</v>
      </c>
      <c r="I12" s="633">
        <v>44400000</v>
      </c>
    </row>
    <row r="13" spans="1:9" ht="15">
      <c r="A13" s="634"/>
      <c r="B13" s="1357" t="s">
        <v>583</v>
      </c>
      <c r="C13" s="1357"/>
      <c r="D13" s="1357"/>
      <c r="E13" s="1357"/>
      <c r="F13" s="1357"/>
      <c r="G13" s="1357"/>
      <c r="H13" s="632"/>
      <c r="I13" s="633"/>
    </row>
    <row r="14" spans="1:9" ht="15">
      <c r="A14" s="634"/>
      <c r="B14" s="635" t="s">
        <v>581</v>
      </c>
      <c r="C14" s="636">
        <f>78.1-9.4+4.5</f>
        <v>73.19999999999999</v>
      </c>
      <c r="D14" s="637">
        <v>72.3</v>
      </c>
      <c r="E14" s="638">
        <v>4012000</v>
      </c>
      <c r="F14" s="638">
        <f>+E14/12*4</f>
        <v>1337333.3333333333</v>
      </c>
      <c r="G14" s="639">
        <v>104445733</v>
      </c>
      <c r="H14" s="632">
        <f>+D14*F14</f>
        <v>96689199.99999999</v>
      </c>
      <c r="I14" s="633">
        <v>96689200</v>
      </c>
    </row>
    <row r="15" spans="1:9" ht="15">
      <c r="A15" s="634"/>
      <c r="B15" s="635" t="s">
        <v>584</v>
      </c>
      <c r="C15" s="636">
        <f>78.1-9.4+4.5</f>
        <v>73.19999999999999</v>
      </c>
      <c r="D15" s="637">
        <v>72.3</v>
      </c>
      <c r="E15" s="638">
        <v>34400</v>
      </c>
      <c r="F15" s="638"/>
      <c r="G15" s="639">
        <v>2686640</v>
      </c>
      <c r="H15" s="632">
        <f>+D15*E15</f>
        <v>2487120</v>
      </c>
      <c r="I15" s="633">
        <v>2487120</v>
      </c>
    </row>
    <row r="16" spans="1:9" ht="15">
      <c r="A16" s="634"/>
      <c r="B16" s="635" t="s">
        <v>582</v>
      </c>
      <c r="C16" s="636">
        <v>43</v>
      </c>
      <c r="D16" s="637">
        <v>45</v>
      </c>
      <c r="E16" s="638">
        <v>1800000</v>
      </c>
      <c r="F16" s="638">
        <f>+E16/12*4</f>
        <v>600000</v>
      </c>
      <c r="G16" s="639">
        <v>25800000</v>
      </c>
      <c r="H16" s="632">
        <f>+D16*F16</f>
        <v>27000000</v>
      </c>
      <c r="I16" s="633">
        <v>27000000</v>
      </c>
    </row>
    <row r="17" spans="1:9" ht="15">
      <c r="A17" s="628" t="s">
        <v>585</v>
      </c>
      <c r="B17" s="629" t="s">
        <v>586</v>
      </c>
      <c r="C17" s="1358">
        <f>SUM(G18:G21)</f>
        <v>52919999</v>
      </c>
      <c r="D17" s="1358"/>
      <c r="E17" s="1358"/>
      <c r="F17" s="1358"/>
      <c r="G17" s="1358"/>
      <c r="H17" s="630">
        <f>SUM(H18:H21)</f>
        <v>52024000.00000001</v>
      </c>
      <c r="I17" s="630">
        <f>SUM(I18:I21)</f>
        <v>52024000</v>
      </c>
    </row>
    <row r="18" spans="1:9" ht="15">
      <c r="A18" s="625"/>
      <c r="B18" s="640" t="s">
        <v>587</v>
      </c>
      <c r="C18" s="636">
        <f>228+2</f>
        <v>230</v>
      </c>
      <c r="D18" s="641">
        <v>230</v>
      </c>
      <c r="E18" s="638">
        <v>56000</v>
      </c>
      <c r="F18" s="638">
        <f>+E18/12*8</f>
        <v>37333.333333333336</v>
      </c>
      <c r="G18" s="639">
        <v>8512000</v>
      </c>
      <c r="H18" s="632">
        <f>+D18*F18</f>
        <v>8586666.666666668</v>
      </c>
      <c r="I18" s="1359">
        <v>34570667</v>
      </c>
    </row>
    <row r="19" spans="1:9" ht="15">
      <c r="A19" s="625"/>
      <c r="B19" s="640" t="s">
        <v>588</v>
      </c>
      <c r="C19" s="636">
        <f>667+30-1</f>
        <v>696</v>
      </c>
      <c r="D19" s="641">
        <v>696</v>
      </c>
      <c r="E19" s="638">
        <v>56000</v>
      </c>
      <c r="F19" s="638">
        <f>+E19/12*8</f>
        <v>37333.333333333336</v>
      </c>
      <c r="G19" s="639">
        <v>24901333</v>
      </c>
      <c r="H19" s="632">
        <f>+D19*F19</f>
        <v>25984000</v>
      </c>
      <c r="I19" s="1360"/>
    </row>
    <row r="20" spans="1:9" ht="15">
      <c r="A20" s="625"/>
      <c r="B20" s="640" t="s">
        <v>589</v>
      </c>
      <c r="C20" s="636">
        <f>230+110</f>
        <v>340</v>
      </c>
      <c r="D20" s="641">
        <v>170</v>
      </c>
      <c r="E20" s="638">
        <v>56000</v>
      </c>
      <c r="F20" s="638">
        <f>+E20/12*4</f>
        <v>18666.666666666668</v>
      </c>
      <c r="G20" s="639">
        <v>4293333</v>
      </c>
      <c r="H20" s="632">
        <f>+D20*F20</f>
        <v>3173333.3333333335</v>
      </c>
      <c r="I20" s="1359">
        <v>17453333</v>
      </c>
    </row>
    <row r="21" spans="1:9" ht="15">
      <c r="A21" s="634"/>
      <c r="B21" s="640" t="s">
        <v>590</v>
      </c>
      <c r="C21" s="636">
        <f>815-115</f>
        <v>700</v>
      </c>
      <c r="D21" s="641">
        <v>765</v>
      </c>
      <c r="E21" s="638">
        <v>56000</v>
      </c>
      <c r="F21" s="638">
        <f>+E21/12*4</f>
        <v>18666.666666666668</v>
      </c>
      <c r="G21" s="639">
        <v>15213333</v>
      </c>
      <c r="H21" s="632">
        <f>+D21*F21</f>
        <v>14280000</v>
      </c>
      <c r="I21" s="1360"/>
    </row>
    <row r="22" spans="1:9" ht="15">
      <c r="A22" s="625" t="s">
        <v>591</v>
      </c>
      <c r="B22" s="626" t="s">
        <v>592</v>
      </c>
      <c r="C22" s="1361">
        <f>+C24+C35</f>
        <v>156537281</v>
      </c>
      <c r="D22" s="1361"/>
      <c r="E22" s="1361"/>
      <c r="F22" s="1361"/>
      <c r="G22" s="1361"/>
      <c r="H22" s="630">
        <f>+H24+H35+H23</f>
        <v>179913980</v>
      </c>
      <c r="I22" s="630">
        <f>+I24+I35+I23</f>
        <v>179913980</v>
      </c>
    </row>
    <row r="23" spans="1:9" ht="15">
      <c r="A23" s="628" t="s">
        <v>593</v>
      </c>
      <c r="B23" s="629" t="s">
        <v>594</v>
      </c>
      <c r="C23" s="1362">
        <v>0</v>
      </c>
      <c r="D23" s="1362"/>
      <c r="E23" s="1362"/>
      <c r="F23" s="1362"/>
      <c r="G23" s="1362"/>
      <c r="H23" s="632">
        <v>30318244</v>
      </c>
      <c r="I23" s="633">
        <f>6151590+8717646+15399008+50000</f>
        <v>30318244</v>
      </c>
    </row>
    <row r="24" spans="1:9" ht="15">
      <c r="A24" s="628" t="s">
        <v>595</v>
      </c>
      <c r="B24" s="629" t="s">
        <v>596</v>
      </c>
      <c r="C24" s="1363">
        <f>+C25+C31+C33+G28+G29+G30</f>
        <v>69218780</v>
      </c>
      <c r="D24" s="1363"/>
      <c r="E24" s="1363"/>
      <c r="F24" s="1363"/>
      <c r="G24" s="1363"/>
      <c r="H24" s="630">
        <f>+H25+H28+H29+H30+H31+H33</f>
        <v>56987930</v>
      </c>
      <c r="I24" s="630">
        <f>+I25+I28+I29+I30+I31+I33</f>
        <v>56987930</v>
      </c>
    </row>
    <row r="25" spans="1:9" ht="15">
      <c r="A25" s="628" t="s">
        <v>597</v>
      </c>
      <c r="B25" s="629" t="s">
        <v>598</v>
      </c>
      <c r="C25" s="1364">
        <f>+G26+G27</f>
        <v>16516530</v>
      </c>
      <c r="D25" s="1364"/>
      <c r="E25" s="1364"/>
      <c r="F25" s="1364"/>
      <c r="G25" s="1364"/>
      <c r="H25" s="630">
        <f>+C25</f>
        <v>16516530</v>
      </c>
      <c r="I25" s="630">
        <f>+I26</f>
        <v>16516530</v>
      </c>
    </row>
    <row r="26" spans="1:9" ht="15">
      <c r="A26" s="642" t="s">
        <v>599</v>
      </c>
      <c r="B26" s="640" t="s">
        <v>600</v>
      </c>
      <c r="C26" s="643">
        <v>4.1814</v>
      </c>
      <c r="D26" s="644">
        <v>4.1814</v>
      </c>
      <c r="E26" s="638">
        <v>3950000</v>
      </c>
      <c r="F26" s="638"/>
      <c r="G26" s="639">
        <f>+(20907/5000)*3950000/2</f>
        <v>8258265</v>
      </c>
      <c r="H26" s="632">
        <f>+D26*E26/2</f>
        <v>8258265</v>
      </c>
      <c r="I26" s="1359">
        <v>16516530</v>
      </c>
    </row>
    <row r="27" spans="1:9" ht="15">
      <c r="A27" s="642" t="s">
        <v>601</v>
      </c>
      <c r="B27" s="640" t="s">
        <v>602</v>
      </c>
      <c r="C27" s="643">
        <v>4.1814</v>
      </c>
      <c r="D27" s="644">
        <v>4.1814</v>
      </c>
      <c r="E27" s="638">
        <v>3950000</v>
      </c>
      <c r="F27" s="638"/>
      <c r="G27" s="639">
        <f>+(20907/5000)*3950000/2</f>
        <v>8258265</v>
      </c>
      <c r="H27" s="632">
        <f>+D27*E27/2</f>
        <v>8258265</v>
      </c>
      <c r="I27" s="1360"/>
    </row>
    <row r="28" spans="1:9" ht="15">
      <c r="A28" s="642" t="s">
        <v>603</v>
      </c>
      <c r="B28" s="640" t="s">
        <v>604</v>
      </c>
      <c r="C28" s="643">
        <v>90</v>
      </c>
      <c r="D28" s="644">
        <v>90</v>
      </c>
      <c r="E28" s="638">
        <v>55360</v>
      </c>
      <c r="F28" s="638"/>
      <c r="G28" s="639">
        <v>4982400</v>
      </c>
      <c r="H28" s="632">
        <f>+D28*E28</f>
        <v>4982400</v>
      </c>
      <c r="I28" s="633">
        <v>4982400</v>
      </c>
    </row>
    <row r="29" spans="1:9" ht="15">
      <c r="A29" s="642" t="s">
        <v>605</v>
      </c>
      <c r="B29" s="640" t="s">
        <v>606</v>
      </c>
      <c r="C29" s="643">
        <v>25</v>
      </c>
      <c r="D29" s="644">
        <v>20</v>
      </c>
      <c r="E29" s="638">
        <v>145000</v>
      </c>
      <c r="F29" s="638"/>
      <c r="G29" s="639">
        <v>3625000</v>
      </c>
      <c r="H29" s="632">
        <f>+D29*E29</f>
        <v>2900000</v>
      </c>
      <c r="I29" s="633">
        <v>2900000</v>
      </c>
    </row>
    <row r="30" spans="1:9" ht="15">
      <c r="A30" s="642" t="s">
        <v>607</v>
      </c>
      <c r="B30" s="640" t="s">
        <v>608</v>
      </c>
      <c r="C30" s="643">
        <v>27</v>
      </c>
      <c r="D30" s="644">
        <v>27</v>
      </c>
      <c r="E30" s="638">
        <v>109000</v>
      </c>
      <c r="F30" s="638"/>
      <c r="G30" s="639">
        <v>2943000</v>
      </c>
      <c r="H30" s="632">
        <f>+D30*E30</f>
        <v>2943000</v>
      </c>
      <c r="I30" s="633">
        <v>2943000</v>
      </c>
    </row>
    <row r="31" spans="1:9" ht="15">
      <c r="A31" s="628" t="s">
        <v>609</v>
      </c>
      <c r="B31" s="629" t="s">
        <v>610</v>
      </c>
      <c r="C31" s="1365">
        <f>+G32</f>
        <v>40516200</v>
      </c>
      <c r="D31" s="1365"/>
      <c r="E31" s="1365"/>
      <c r="F31" s="1365"/>
      <c r="G31" s="1365"/>
      <c r="H31" s="630">
        <f>+H32</f>
        <v>29646000</v>
      </c>
      <c r="I31" s="630">
        <f>+I32</f>
        <v>29646000</v>
      </c>
    </row>
    <row r="32" spans="1:9" ht="15">
      <c r="A32" s="634" t="s">
        <v>611</v>
      </c>
      <c r="B32" s="635" t="s">
        <v>612</v>
      </c>
      <c r="C32" s="646">
        <f>82-12</f>
        <v>70</v>
      </c>
      <c r="D32" s="647">
        <v>60</v>
      </c>
      <c r="E32" s="638">
        <v>494100</v>
      </c>
      <c r="F32" s="638"/>
      <c r="G32" s="639">
        <v>40516200</v>
      </c>
      <c r="H32" s="632">
        <f>+D32*E32</f>
        <v>29646000</v>
      </c>
      <c r="I32" s="633">
        <v>29646000</v>
      </c>
    </row>
    <row r="33" spans="1:9" ht="15">
      <c r="A33" s="628" t="s">
        <v>613</v>
      </c>
      <c r="B33" s="629" t="s">
        <v>614</v>
      </c>
      <c r="C33" s="1361">
        <f>+G34</f>
        <v>635650</v>
      </c>
      <c r="D33" s="1361"/>
      <c r="E33" s="1361"/>
      <c r="F33" s="1361"/>
      <c r="G33" s="1361"/>
      <c r="H33" s="632">
        <f>+H34</f>
        <v>0</v>
      </c>
      <c r="I33" s="633">
        <v>0</v>
      </c>
    </row>
    <row r="34" spans="1:9" ht="15">
      <c r="A34" s="628" t="s">
        <v>615</v>
      </c>
      <c r="B34" s="635" t="s">
        <v>616</v>
      </c>
      <c r="C34" s="646">
        <f>1-1</f>
        <v>0</v>
      </c>
      <c r="D34" s="647">
        <v>0</v>
      </c>
      <c r="E34" s="638">
        <v>635650</v>
      </c>
      <c r="F34" s="638"/>
      <c r="G34" s="639">
        <v>635650</v>
      </c>
      <c r="H34" s="632">
        <f>+G34-635650</f>
        <v>0</v>
      </c>
      <c r="I34" s="633">
        <v>0</v>
      </c>
    </row>
    <row r="35" spans="1:9" ht="15">
      <c r="A35" s="628" t="s">
        <v>617</v>
      </c>
      <c r="B35" s="629" t="s">
        <v>618</v>
      </c>
      <c r="C35" s="1366">
        <f>G36+G37</f>
        <v>87318501</v>
      </c>
      <c r="D35" s="1366"/>
      <c r="E35" s="1366"/>
      <c r="F35" s="1366"/>
      <c r="G35" s="1366"/>
      <c r="H35" s="630">
        <f>+H36+H37</f>
        <v>92607806</v>
      </c>
      <c r="I35" s="630">
        <f>+I36+I37</f>
        <v>92607806</v>
      </c>
    </row>
    <row r="36" spans="1:9" ht="15">
      <c r="A36" s="628" t="s">
        <v>619</v>
      </c>
      <c r="B36" s="640" t="s">
        <v>620</v>
      </c>
      <c r="C36" s="646">
        <f>35.8+3.46</f>
        <v>39.26</v>
      </c>
      <c r="D36" s="647">
        <v>38.92</v>
      </c>
      <c r="E36" s="638">
        <v>1632000</v>
      </c>
      <c r="F36" s="638"/>
      <c r="G36" s="639">
        <v>58425600</v>
      </c>
      <c r="H36" s="632">
        <f>+D36*E36</f>
        <v>63517440</v>
      </c>
      <c r="I36" s="633">
        <v>63517440</v>
      </c>
    </row>
    <row r="37" spans="1:9" ht="15">
      <c r="A37" s="628" t="s">
        <v>621</v>
      </c>
      <c r="B37" s="640" t="s">
        <v>622</v>
      </c>
      <c r="C37" s="635"/>
      <c r="D37" s="648"/>
      <c r="E37" s="638"/>
      <c r="F37" s="638"/>
      <c r="G37" s="639">
        <v>28892901</v>
      </c>
      <c r="H37" s="649">
        <v>29090366</v>
      </c>
      <c r="I37" s="650">
        <v>29090366</v>
      </c>
    </row>
    <row r="38" spans="1:9" ht="15">
      <c r="A38" s="628" t="s">
        <v>623</v>
      </c>
      <c r="B38" s="626" t="s">
        <v>624</v>
      </c>
      <c r="C38" s="1365">
        <f>+G39</f>
        <v>23833980</v>
      </c>
      <c r="D38" s="1365"/>
      <c r="E38" s="1365"/>
      <c r="F38" s="1365"/>
      <c r="G38" s="1365"/>
      <c r="H38" s="630">
        <f>+C38</f>
        <v>23833980</v>
      </c>
      <c r="I38" s="630">
        <f>SUM(I39)</f>
        <v>23833980</v>
      </c>
    </row>
    <row r="39" spans="1:9" ht="15">
      <c r="A39" s="651" t="s">
        <v>625</v>
      </c>
      <c r="B39" s="652" t="s">
        <v>626</v>
      </c>
      <c r="C39" s="1367"/>
      <c r="D39" s="1367"/>
      <c r="E39" s="1367"/>
      <c r="F39" s="1367"/>
      <c r="G39" s="653">
        <v>23833980</v>
      </c>
      <c r="H39" s="654">
        <f>+G39</f>
        <v>23833980</v>
      </c>
      <c r="I39" s="655">
        <v>23833980</v>
      </c>
    </row>
    <row r="40" spans="1:9" ht="15.75">
      <c r="A40" s="1368" t="s">
        <v>627</v>
      </c>
      <c r="B40" s="1369"/>
      <c r="C40" s="1370">
        <f>+C8++C7+C22+C38</f>
        <v>631488254</v>
      </c>
      <c r="D40" s="1370"/>
      <c r="E40" s="1370"/>
      <c r="F40" s="1370"/>
      <c r="G40" s="1370"/>
      <c r="H40" s="656">
        <f>+H8++H7+H22+H38</f>
        <v>653899567.3333333</v>
      </c>
      <c r="I40" s="656">
        <f>+I8++I7+I22+I38</f>
        <v>653899567</v>
      </c>
    </row>
    <row r="41" spans="1:9" ht="15.75">
      <c r="A41" s="657"/>
      <c r="B41" s="657"/>
      <c r="C41" s="658"/>
      <c r="D41" s="658"/>
      <c r="E41" s="658"/>
      <c r="F41" s="658"/>
      <c r="G41" s="658"/>
      <c r="H41" s="659"/>
      <c r="I41" s="660"/>
    </row>
    <row r="42" spans="1:9" ht="75">
      <c r="A42" s="617" t="s">
        <v>563</v>
      </c>
      <c r="B42" s="618" t="s">
        <v>21</v>
      </c>
      <c r="C42" s="619" t="s">
        <v>564</v>
      </c>
      <c r="D42" s="619" t="s">
        <v>565</v>
      </c>
      <c r="E42" s="619" t="s">
        <v>566</v>
      </c>
      <c r="F42" s="619" t="s">
        <v>567</v>
      </c>
      <c r="G42" s="619" t="s">
        <v>568</v>
      </c>
      <c r="H42" s="621" t="s">
        <v>569</v>
      </c>
      <c r="I42" s="622" t="s">
        <v>497</v>
      </c>
    </row>
    <row r="43" spans="1:9" ht="18.75" customHeight="1">
      <c r="A43" s="1347" t="s">
        <v>628</v>
      </c>
      <c r="B43" s="1348"/>
      <c r="C43" s="1348"/>
      <c r="D43" s="1348"/>
      <c r="E43" s="1348"/>
      <c r="F43" s="1348"/>
      <c r="G43" s="1348"/>
      <c r="H43" s="623"/>
      <c r="I43" s="624"/>
    </row>
    <row r="44" spans="1:9" ht="15">
      <c r="A44" s="628"/>
      <c r="B44" s="661" t="s">
        <v>629</v>
      </c>
      <c r="C44" s="623"/>
      <c r="D44" s="662"/>
      <c r="E44" s="623"/>
      <c r="F44" s="623"/>
      <c r="G44" s="645">
        <v>199350</v>
      </c>
      <c r="H44" s="645">
        <v>199350</v>
      </c>
      <c r="I44" s="663">
        <v>199350</v>
      </c>
    </row>
    <row r="45" spans="1:9" ht="15">
      <c r="A45" s="628"/>
      <c r="B45" s="661" t="s">
        <v>630</v>
      </c>
      <c r="C45" s="623"/>
      <c r="D45" s="662"/>
      <c r="E45" s="623"/>
      <c r="F45" s="623"/>
      <c r="G45" s="645">
        <v>48840</v>
      </c>
      <c r="H45" s="645">
        <v>48840</v>
      </c>
      <c r="I45" s="663">
        <v>48840</v>
      </c>
    </row>
    <row r="46" spans="1:9" ht="15">
      <c r="A46" s="628"/>
      <c r="B46" s="661" t="s">
        <v>631</v>
      </c>
      <c r="C46" s="623"/>
      <c r="D46" s="662"/>
      <c r="E46" s="623"/>
      <c r="F46" s="623"/>
      <c r="G46" s="645"/>
      <c r="H46" s="645">
        <f>5003000+5236000</f>
        <v>10239000</v>
      </c>
      <c r="I46" s="663">
        <v>10239000</v>
      </c>
    </row>
    <row r="47" spans="1:9" ht="15">
      <c r="A47" s="651"/>
      <c r="B47" s="664" t="s">
        <v>632</v>
      </c>
      <c r="C47" s="665"/>
      <c r="D47" s="666"/>
      <c r="E47" s="665"/>
      <c r="F47" s="665"/>
      <c r="G47" s="667"/>
      <c r="H47" s="667">
        <f>1377569</f>
        <v>1377569</v>
      </c>
      <c r="I47" s="668">
        <v>1377569</v>
      </c>
    </row>
    <row r="48" spans="1:9" ht="15.75">
      <c r="A48" s="1368" t="s">
        <v>633</v>
      </c>
      <c r="B48" s="1369"/>
      <c r="C48" s="1370">
        <f>SUM(G44:G47)</f>
        <v>248190</v>
      </c>
      <c r="D48" s="1370"/>
      <c r="E48" s="1370"/>
      <c r="F48" s="1370"/>
      <c r="G48" s="1370"/>
      <c r="H48" s="669">
        <f>+H44+H46+H45+H47</f>
        <v>11864759</v>
      </c>
      <c r="I48" s="669">
        <f>+I44+I46+I45+I47</f>
        <v>11864759</v>
      </c>
    </row>
    <row r="49" spans="1:9" ht="12.75">
      <c r="A49" s="615"/>
      <c r="B49" s="615"/>
      <c r="C49" s="615"/>
      <c r="D49" s="616"/>
      <c r="E49" s="615"/>
      <c r="F49" s="615"/>
      <c r="G49" s="615"/>
      <c r="H49" s="670"/>
      <c r="I49" s="671"/>
    </row>
    <row r="50" spans="1:9" ht="75">
      <c r="A50" s="617" t="s">
        <v>563</v>
      </c>
      <c r="B50" s="618" t="s">
        <v>21</v>
      </c>
      <c r="C50" s="619" t="s">
        <v>564</v>
      </c>
      <c r="D50" s="619" t="s">
        <v>565</v>
      </c>
      <c r="E50" s="619" t="s">
        <v>566</v>
      </c>
      <c r="F50" s="619" t="s">
        <v>567</v>
      </c>
      <c r="G50" s="619" t="s">
        <v>568</v>
      </c>
      <c r="H50" s="621" t="s">
        <v>569</v>
      </c>
      <c r="I50" s="622" t="s">
        <v>497</v>
      </c>
    </row>
    <row r="51" spans="1:9" ht="18.75" customHeight="1">
      <c r="A51" s="1373" t="s">
        <v>634</v>
      </c>
      <c r="B51" s="1374"/>
      <c r="C51" s="1374"/>
      <c r="D51" s="1374"/>
      <c r="E51" s="1374"/>
      <c r="F51" s="1374"/>
      <c r="G51" s="1374"/>
      <c r="H51" s="1374"/>
      <c r="I51" s="672"/>
    </row>
    <row r="52" spans="1:9" ht="15">
      <c r="A52" s="673"/>
      <c r="B52" s="674" t="s">
        <v>635</v>
      </c>
      <c r="C52" s="675"/>
      <c r="D52" s="676"/>
      <c r="E52" s="675"/>
      <c r="F52" s="675"/>
      <c r="G52" s="677"/>
      <c r="H52" s="678">
        <f>309541+2337521+1624496+1756104</f>
        <v>6027662</v>
      </c>
      <c r="I52" s="679">
        <v>6027662</v>
      </c>
    </row>
    <row r="53" spans="1:9" ht="15">
      <c r="A53" s="628"/>
      <c r="B53" s="661" t="s">
        <v>636</v>
      </c>
      <c r="C53" s="623"/>
      <c r="D53" s="662"/>
      <c r="E53" s="623"/>
      <c r="F53" s="623"/>
      <c r="G53" s="645"/>
      <c r="H53" s="680">
        <f>1664600+40600-1705200</f>
        <v>0</v>
      </c>
      <c r="I53" s="681">
        <v>0</v>
      </c>
    </row>
    <row r="54" spans="1:9" ht="15">
      <c r="A54" s="628"/>
      <c r="B54" s="661" t="s">
        <v>637</v>
      </c>
      <c r="C54" s="623"/>
      <c r="D54" s="662"/>
      <c r="E54" s="623"/>
      <c r="F54" s="623"/>
      <c r="G54" s="645"/>
      <c r="H54" s="680">
        <v>3179000</v>
      </c>
      <c r="I54" s="681">
        <v>3179000</v>
      </c>
    </row>
    <row r="55" spans="1:9" ht="15">
      <c r="A55" s="628"/>
      <c r="B55" s="661" t="s">
        <v>638</v>
      </c>
      <c r="C55" s="623"/>
      <c r="D55" s="662"/>
      <c r="E55" s="623"/>
      <c r="F55" s="623"/>
      <c r="G55" s="645"/>
      <c r="H55" s="680">
        <v>14513600</v>
      </c>
      <c r="I55" s="681">
        <v>14513600</v>
      </c>
    </row>
    <row r="56" spans="1:9" ht="15">
      <c r="A56" s="628"/>
      <c r="B56" s="661" t="s">
        <v>639</v>
      </c>
      <c r="C56" s="623"/>
      <c r="D56" s="662"/>
      <c r="E56" s="623"/>
      <c r="F56" s="623"/>
      <c r="G56" s="645"/>
      <c r="H56" s="680">
        <v>867324</v>
      </c>
      <c r="I56" s="681">
        <v>867324</v>
      </c>
    </row>
    <row r="57" spans="1:9" ht="15">
      <c r="A57" s="651"/>
      <c r="B57" s="664" t="s">
        <v>640</v>
      </c>
      <c r="C57" s="665"/>
      <c r="D57" s="666"/>
      <c r="E57" s="665"/>
      <c r="F57" s="665"/>
      <c r="G57" s="667"/>
      <c r="H57" s="682">
        <v>14501717</v>
      </c>
      <c r="I57" s="683">
        <v>14501717</v>
      </c>
    </row>
    <row r="58" spans="1:9" ht="15">
      <c r="A58" s="1375" t="s">
        <v>641</v>
      </c>
      <c r="B58" s="1376"/>
      <c r="C58" s="684"/>
      <c r="D58" s="684"/>
      <c r="E58" s="684"/>
      <c r="F58" s="684"/>
      <c r="G58" s="685"/>
      <c r="H58" s="686">
        <f>SUM(H52:H57)</f>
        <v>39089303</v>
      </c>
      <c r="I58" s="686">
        <f>SUM(I52:I57)</f>
        <v>39089303</v>
      </c>
    </row>
    <row r="59" spans="1:9" ht="19.5">
      <c r="A59" s="1377" t="s">
        <v>642</v>
      </c>
      <c r="B59" s="1377"/>
      <c r="C59" s="1378">
        <f>+C48+C40</f>
        <v>631736444</v>
      </c>
      <c r="D59" s="1378"/>
      <c r="E59" s="1379"/>
      <c r="F59" s="1379"/>
      <c r="G59" s="1379"/>
      <c r="H59" s="687">
        <f>+H40+H48+H58</f>
        <v>704853629.3333333</v>
      </c>
      <c r="I59" s="687">
        <f>+I40+I48+I58</f>
        <v>704853629</v>
      </c>
    </row>
    <row r="60" spans="1:9" ht="21">
      <c r="A60" s="688"/>
      <c r="B60" s="688"/>
      <c r="C60" s="689"/>
      <c r="D60" s="689"/>
      <c r="E60" s="690"/>
      <c r="F60" s="690"/>
      <c r="G60" s="690"/>
      <c r="H60" s="691"/>
      <c r="I60" s="691"/>
    </row>
    <row r="61" spans="1:9" ht="15">
      <c r="A61" s="673"/>
      <c r="B61" s="674" t="s">
        <v>643</v>
      </c>
      <c r="C61" s="675"/>
      <c r="D61" s="676"/>
      <c r="E61" s="675"/>
      <c r="F61" s="675"/>
      <c r="G61" s="677"/>
      <c r="H61" s="678">
        <v>1121000</v>
      </c>
      <c r="I61" s="679">
        <v>1121000</v>
      </c>
    </row>
    <row r="62" spans="1:9" ht="15">
      <c r="A62" s="651"/>
      <c r="B62" s="664" t="s">
        <v>644</v>
      </c>
      <c r="C62" s="665"/>
      <c r="D62" s="666"/>
      <c r="E62" s="665"/>
      <c r="F62" s="665"/>
      <c r="G62" s="667"/>
      <c r="H62" s="682">
        <v>923665000</v>
      </c>
      <c r="I62" s="683">
        <v>923665000</v>
      </c>
    </row>
    <row r="63" spans="1:9" ht="19.5">
      <c r="A63" s="1371" t="s">
        <v>645</v>
      </c>
      <c r="B63" s="1371"/>
      <c r="C63" s="1371"/>
      <c r="D63" s="1371"/>
      <c r="E63" s="1371"/>
      <c r="F63" s="1371"/>
      <c r="G63" s="692"/>
      <c r="H63" s="693">
        <f>+H61+H62</f>
        <v>924786000</v>
      </c>
      <c r="I63" s="693">
        <f>+I61+I62</f>
        <v>924786000</v>
      </c>
    </row>
    <row r="64" spans="1:9" ht="21">
      <c r="A64" s="1372" t="s">
        <v>646</v>
      </c>
      <c r="B64" s="1372"/>
      <c r="C64" s="1372"/>
      <c r="D64" s="1372"/>
      <c r="E64" s="1372"/>
      <c r="F64" s="1372"/>
      <c r="G64" s="694">
        <f>+C59+G63</f>
        <v>631736444</v>
      </c>
      <c r="H64" s="694">
        <f>+H63+H59</f>
        <v>1629639629.3333333</v>
      </c>
      <c r="I64" s="694">
        <f>+I63+I59</f>
        <v>1629639629</v>
      </c>
    </row>
  </sheetData>
  <sheetProtection/>
  <mergeCells count="35">
    <mergeCell ref="A63:F63"/>
    <mergeCell ref="A64:F64"/>
    <mergeCell ref="A43:G43"/>
    <mergeCell ref="A48:B48"/>
    <mergeCell ref="C48:G48"/>
    <mergeCell ref="A51:H51"/>
    <mergeCell ref="A58:B58"/>
    <mergeCell ref="A59:B59"/>
    <mergeCell ref="C59:G59"/>
    <mergeCell ref="C31:G31"/>
    <mergeCell ref="C33:G33"/>
    <mergeCell ref="C35:G35"/>
    <mergeCell ref="C38:G38"/>
    <mergeCell ref="C39:F39"/>
    <mergeCell ref="A40:B40"/>
    <mergeCell ref="C40:G40"/>
    <mergeCell ref="I20:I21"/>
    <mergeCell ref="C22:G22"/>
    <mergeCell ref="C23:G23"/>
    <mergeCell ref="C24:G24"/>
    <mergeCell ref="C25:G25"/>
    <mergeCell ref="I26:I27"/>
    <mergeCell ref="C8:G8"/>
    <mergeCell ref="C9:G9"/>
    <mergeCell ref="B10:G10"/>
    <mergeCell ref="B13:G13"/>
    <mergeCell ref="C17:G17"/>
    <mergeCell ref="I18:I19"/>
    <mergeCell ref="A1:I1"/>
    <mergeCell ref="A4:G4"/>
    <mergeCell ref="C5:G5"/>
    <mergeCell ref="I5:I6"/>
    <mergeCell ref="C6:G6"/>
    <mergeCell ref="A7:B7"/>
    <mergeCell ref="C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  <headerFooter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paskoneeva</dc:creator>
  <cp:keywords/>
  <dc:description/>
  <cp:lastModifiedBy>gerstenbrein Erika</cp:lastModifiedBy>
  <cp:lastPrinted>2015-03-18T12:05:31Z</cp:lastPrinted>
  <dcterms:created xsi:type="dcterms:W3CDTF">2014-01-08T13:04:31Z</dcterms:created>
  <dcterms:modified xsi:type="dcterms:W3CDTF">2015-03-20T08:00:29Z</dcterms:modified>
  <cp:category/>
  <cp:version/>
  <cp:contentType/>
  <cp:contentStatus/>
</cp:coreProperties>
</file>