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55" windowHeight="10845" firstSheet="3" activeTab="9"/>
  </bookViews>
  <sheets>
    <sheet name="1. sz. Önkormányzat 2019. " sheetId="1" r:id="rId1"/>
    <sheet name="2.1. sz. PMH" sheetId="2" r:id="rId2"/>
    <sheet name="2.2. sz. Hétszínvirág Óvoda" sheetId="3" r:id="rId3"/>
    <sheet name="2.3. sz. Mese Óvoda" sheetId="4" r:id="rId4"/>
    <sheet name="2.4. sz. Bölcsőde" sheetId="5" r:id="rId5"/>
    <sheet name="2.5. sz. Gyermekjóléti" sheetId="6" r:id="rId6"/>
    <sheet name="2.6 sz. Területi" sheetId="7" r:id="rId7"/>
    <sheet name="2.7. sz. Könyvtár" sheetId="8" r:id="rId8"/>
    <sheet name="2.8. sz. Műv.Ház" sheetId="9" r:id="rId9"/>
    <sheet name="2.9. sz. Szivárvány Ó." sheetId="10" r:id="rId10"/>
    <sheet name="2.10. sz. Intézmények összesen" sheetId="11" r:id="rId11"/>
    <sheet name="3. sz.Városi szintű összesen" sheetId="12" r:id="rId12"/>
    <sheet name="4.sz.Felhalm.c.pe.átadás" sheetId="13" r:id="rId13"/>
    <sheet name="5.sz.Műk.c.pe.átadás" sheetId="14" r:id="rId14"/>
    <sheet name="6.sz. Beruházások" sheetId="15" r:id="rId15"/>
    <sheet name="7. sz. Felújítások" sheetId="16" r:id="rId16"/>
    <sheet name="8.sz.Tartalékok" sheetId="17" r:id="rId17"/>
    <sheet name="9.sz. Szociális" sheetId="18" r:id="rId18"/>
    <sheet name="10.sz.Intézményfinanszírozás" sheetId="19" r:id="rId19"/>
    <sheet name="11.sz. Állami támogatás" sheetId="20" r:id="rId20"/>
    <sheet name="12.sz.mell. Létszámtábla" sheetId="21" r:id="rId21"/>
    <sheet name="1.sz.tájék.tábla Közvetett tám" sheetId="22" r:id="rId22"/>
    <sheet name="2.sz.tájék.tábla Mérlegszerű" sheetId="23" r:id="rId23"/>
    <sheet name="3.sz.tájék.tábla Gördülő" sheetId="24" r:id="rId24"/>
    <sheet name="4.sz.tájék.táb. Többéves" sheetId="25" r:id="rId25"/>
    <sheet name="5.sz.tájék.táb Adósságszolgálat" sheetId="26" r:id="rId26"/>
    <sheet name="6.sz.tájék.tábla Hitelképesség" sheetId="27" r:id="rId27"/>
    <sheet name="7.sz.tájék.táb.Likviditási terv" sheetId="28" r:id="rId28"/>
    <sheet name="8.sz.tájék.tábla Ütemterv" sheetId="29" r:id="rId29"/>
    <sheet name="9. sz. tájék.tábla EU-s pály." sheetId="30" r:id="rId30"/>
    <sheet name="10. sz.tájék.Nem EU-s pály. " sheetId="31" r:id="rId31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xlfn.SUMIFS" hidden="1">#NAME?</definedName>
    <definedName name="felev" localSheetId="0">#REF!</definedName>
    <definedName name="felev" localSheetId="30">#REF!</definedName>
    <definedName name="felev" localSheetId="1">#REF!</definedName>
    <definedName name="felev" localSheetId="10">#REF!</definedName>
    <definedName name="felev" localSheetId="2">#REF!</definedName>
    <definedName name="felev" localSheetId="3">#REF!</definedName>
    <definedName name="felev" localSheetId="4">#REF!</definedName>
    <definedName name="felev" localSheetId="5">#REF!</definedName>
    <definedName name="felev" localSheetId="6">#REF!</definedName>
    <definedName name="felev" localSheetId="7">#REF!</definedName>
    <definedName name="felev" localSheetId="11">#REF!</definedName>
    <definedName name="felev" localSheetId="23">#REF!</definedName>
    <definedName name="felev" localSheetId="14">#REF!</definedName>
    <definedName name="felev">#REF!</definedName>
    <definedName name="funkcio" localSheetId="0">#REF!</definedName>
    <definedName name="funkcio" localSheetId="30">#REF!</definedName>
    <definedName name="funkcio" localSheetId="1">#REF!</definedName>
    <definedName name="funkcio" localSheetId="10">#REF!</definedName>
    <definedName name="funkcio" localSheetId="2">#REF!</definedName>
    <definedName name="funkcio" localSheetId="3">#REF!</definedName>
    <definedName name="funkcio" localSheetId="4">#REF!</definedName>
    <definedName name="funkcio" localSheetId="5">#REF!</definedName>
    <definedName name="funkcio" localSheetId="6">#REF!</definedName>
    <definedName name="funkcio" localSheetId="7">#REF!</definedName>
    <definedName name="funkcio" localSheetId="11">#REF!</definedName>
    <definedName name="funkcio" localSheetId="23">#REF!</definedName>
    <definedName name="funkcio" localSheetId="14">#REF!</definedName>
    <definedName name="funkcio">#REF!</definedName>
    <definedName name="Igenyles_elszamolas_tip" localSheetId="0">#REF!</definedName>
    <definedName name="Igenyles_elszamolas_tip" localSheetId="30">#REF!</definedName>
    <definedName name="Igenyles_elszamolas_tip" localSheetId="1">#REF!</definedName>
    <definedName name="Igenyles_elszamolas_tip" localSheetId="10">#REF!</definedName>
    <definedName name="Igenyles_elszamolas_tip" localSheetId="2">#REF!</definedName>
    <definedName name="Igenyles_elszamolas_tip" localSheetId="3">#REF!</definedName>
    <definedName name="Igenyles_elszamolas_tip" localSheetId="4">#REF!</definedName>
    <definedName name="Igenyles_elszamolas_tip" localSheetId="5">#REF!</definedName>
    <definedName name="Igenyles_elszamolas_tip" localSheetId="6">#REF!</definedName>
    <definedName name="Igenyles_elszamolas_tip" localSheetId="7">#REF!</definedName>
    <definedName name="Igenyles_elszamolas_tip" localSheetId="11">#REF!</definedName>
    <definedName name="Igenyles_elszamolas_tip" localSheetId="23">#REF!</definedName>
    <definedName name="Igenyles_elszamolas_tip" localSheetId="14">#REF!</definedName>
    <definedName name="Igenyles_elszamolas_tip">#REF!</definedName>
    <definedName name="iiiiii" localSheetId="30">#REF!</definedName>
    <definedName name="iiiiii">#REF!</definedName>
    <definedName name="jjj" localSheetId="30">#REF!</definedName>
    <definedName name="jjj">#REF!</definedName>
    <definedName name="kkkk" localSheetId="30">#REF!</definedName>
    <definedName name="kkkk">#REF!</definedName>
    <definedName name="koltseg_k" localSheetId="0">#REF!</definedName>
    <definedName name="koltseg_k" localSheetId="30">#REF!</definedName>
    <definedName name="koltseg_k" localSheetId="1">#REF!</definedName>
    <definedName name="koltseg_k" localSheetId="10">#REF!</definedName>
    <definedName name="koltseg_k" localSheetId="2">#REF!</definedName>
    <definedName name="koltseg_k" localSheetId="3">#REF!</definedName>
    <definedName name="koltseg_k" localSheetId="4">#REF!</definedName>
    <definedName name="koltseg_k" localSheetId="5">#REF!</definedName>
    <definedName name="koltseg_k" localSheetId="6">#REF!</definedName>
    <definedName name="koltseg_k" localSheetId="7">#REF!</definedName>
    <definedName name="koltseg_k" localSheetId="11">#REF!</definedName>
    <definedName name="koltseg_k" localSheetId="23">#REF!</definedName>
    <definedName name="koltseg_k" localSheetId="14">#REF!</definedName>
    <definedName name="koltseg_k">#REF!</definedName>
    <definedName name="Koltseg_kat" localSheetId="0">#REF!</definedName>
    <definedName name="Koltseg_kat" localSheetId="30">#REF!</definedName>
    <definedName name="Koltseg_kat" localSheetId="1">#REF!</definedName>
    <definedName name="Koltseg_kat" localSheetId="10">#REF!</definedName>
    <definedName name="Koltseg_kat" localSheetId="2">#REF!</definedName>
    <definedName name="Koltseg_kat" localSheetId="3">#REF!</definedName>
    <definedName name="Koltseg_kat" localSheetId="4">#REF!</definedName>
    <definedName name="Koltseg_kat" localSheetId="5">#REF!</definedName>
    <definedName name="Koltseg_kat" localSheetId="6">#REF!</definedName>
    <definedName name="Koltseg_kat" localSheetId="7">#REF!</definedName>
    <definedName name="Koltseg_kat" localSheetId="11">#REF!</definedName>
    <definedName name="Koltseg_kat" localSheetId="23">#REF!</definedName>
    <definedName name="Koltseg_kat" localSheetId="14">#REF!</definedName>
    <definedName name="Koltseg_kat">#REF!</definedName>
    <definedName name="_xlnm.Print_Titles" localSheetId="0">'1. sz. Önkormányzat 2019. '!$A:$C,'1. sz. Önkormányzat 2019. '!$1:$6</definedName>
    <definedName name="_xlnm.Print_Titles" localSheetId="20">'12.sz.mell. Létszámtábla'!$2:$2</definedName>
    <definedName name="_xlnm.Print_Titles" localSheetId="1">'2.1. sz. PMH'!$A:$C</definedName>
    <definedName name="_xlnm.Print_Titles" localSheetId="2">'2.2. sz. Hétszínvirág Óvoda'!$A:$C</definedName>
    <definedName name="_xlnm.Print_Titles" localSheetId="3">'2.3. sz. Mese Óvoda'!$A:$C</definedName>
    <definedName name="_xlnm.Print_Titles" localSheetId="5">'2.5. sz. Gyermekjóléti'!$A:$C</definedName>
    <definedName name="_xlnm.Print_Titles" localSheetId="6">'2.6 sz. Területi'!$A:$C</definedName>
    <definedName name="_xlnm.Print_Titles" localSheetId="7">'2.7. sz. Könyvtár'!$A:$C</definedName>
    <definedName name="_xlnm.Print_Titles" localSheetId="8">'2.8. sz. Műv.Ház'!$A:$C</definedName>
    <definedName name="_xlnm.Print_Titles" localSheetId="9">'2.9. sz. Szivárvány Ó.'!$A:$C</definedName>
    <definedName name="_xlnm.Print_Titles" localSheetId="11">'3. sz.Városi szintű összesen'!$A:$C,'3. sz.Városi szintű összesen'!$1:$6</definedName>
    <definedName name="_xlnm.Print_Titles" localSheetId="14">'6.sz. Beruházások'!$1:$6</definedName>
    <definedName name="_xlnm.Print_Titles" localSheetId="26">'6.sz.tájék.tábla Hitelképesség'!$A:$B</definedName>
    <definedName name="_xlnm.Print_Titles" localSheetId="15">'7. sz. Felújítások'!$4:$6</definedName>
    <definedName name="_xlnm.Print_Area" localSheetId="0">'1. sz. Önkormányzat 2019. '!$A$1:$EN$50</definedName>
    <definedName name="_xlnm.Print_Area" localSheetId="21">'1.sz.tájék.tábla Közvetett tám'!$A$1:$I$31</definedName>
    <definedName name="_xlnm.Print_Area" localSheetId="18">'10.sz.Intézményfinanszírozás'!$A$1:$F$15</definedName>
    <definedName name="_xlnm.Print_Area" localSheetId="1">'2.1. sz. PMH'!$A$1:$M$50</definedName>
    <definedName name="_xlnm.Print_Area" localSheetId="10">'2.10. sz. Intézmények összesen'!$A$1:$G$50</definedName>
    <definedName name="_xlnm.Print_Area" localSheetId="2">'2.2. sz. Hétszínvirág Óvoda'!$A$1:$H$50</definedName>
    <definedName name="_xlnm.Print_Area" localSheetId="3">'2.3. sz. Mese Óvoda'!$A$1:$I$50</definedName>
    <definedName name="_xlnm.Print_Area" localSheetId="4">'2.4. sz. Bölcsőde'!$A$1:$I$50</definedName>
    <definedName name="_xlnm.Print_Area" localSheetId="5">'2.5. sz. Gyermekjóléti'!$A$1:$K$50</definedName>
    <definedName name="_xlnm.Print_Area" localSheetId="6">'2.6 sz. Területi'!$A$1:$W$50</definedName>
    <definedName name="_xlnm.Print_Area" localSheetId="7">'2.7. sz. Könyvtár'!$A$1:$K$50</definedName>
    <definedName name="_xlnm.Print_Area" localSheetId="8">'2.8. sz. Műv.Ház'!$A$1:$J$50</definedName>
    <definedName name="_xlnm.Print_Area" localSheetId="9">'2.9. sz. Szivárvány Ó.'!$A$1:$I$50</definedName>
    <definedName name="_xlnm.Print_Area" localSheetId="22">'2.sz.tájék.tábla Mérlegszerű'!$A$1:$H$39</definedName>
    <definedName name="_xlnm.Print_Area" localSheetId="11">'3. sz.Városi szintű összesen'!$A$1:$H$51</definedName>
    <definedName name="_xlnm.Print_Area" localSheetId="23">'3.sz.tájék.tábla Gördülő'!$A$1:$I$82</definedName>
    <definedName name="_xlnm.Print_Area" localSheetId="12">'4.sz.Felhalm.c.pe.átadás'!$A$1:$K$15</definedName>
    <definedName name="_xlnm.Print_Area" localSheetId="24">'4.sz.tájék.táb. Többéves'!$A$1:$I$15</definedName>
    <definedName name="_xlnm.Print_Area" localSheetId="13">'5.sz.Műk.c.pe.átadás'!$A$1:$G$60</definedName>
    <definedName name="_xlnm.Print_Area" localSheetId="25">'5.sz.tájék.táb Adósságszolgálat'!$A$1:$E$49</definedName>
    <definedName name="_xlnm.Print_Area" localSheetId="14">'6.sz. Beruházások'!$A$1:$P$97</definedName>
    <definedName name="_xlnm.Print_Area" localSheetId="26">'6.sz.tájék.tábla Hitelképesség'!$A$1:$W$47</definedName>
    <definedName name="_xlnm.Print_Area" localSheetId="15">'7. sz. Felújítások'!$A$1:$O$28</definedName>
    <definedName name="_xlnm.Print_Area" localSheetId="27">'7.sz.tájék.táb.Likviditási terv'!$A$1:$P$29</definedName>
    <definedName name="_xlnm.Print_Area" localSheetId="28">'8.sz.tájék.tábla Ütemterv'!$A$1:$P$29</definedName>
    <definedName name="_xlnm.Print_Area" localSheetId="16">'8.sz.Tartalékok'!$A$1:$E$58</definedName>
    <definedName name="_xlnm.Print_Area" localSheetId="29">'9. sz. tájék.tábla EU-s pály.'!$A$1:$G$38</definedName>
    <definedName name="_xlnm.Print_Area" localSheetId="17">'9.sz. Szociális'!$A$1:$E$21</definedName>
    <definedName name="oooooooooooo" localSheetId="30">#REF!</definedName>
    <definedName name="oooooooooooo">#REF!</definedName>
    <definedName name="pppppp" localSheetId="30">#REF!</definedName>
    <definedName name="pppppp">#REF!</definedName>
    <definedName name="qqqqq" localSheetId="30">#REF!</definedName>
    <definedName name="qqqqq">#REF!</definedName>
    <definedName name="rrrrrrrrrrr" localSheetId="30">#REF!</definedName>
    <definedName name="rrrrrrrrrrr">#REF!</definedName>
    <definedName name="Szamviteli_kat" localSheetId="0">#REF!</definedName>
    <definedName name="Szamviteli_kat" localSheetId="30">#REF!</definedName>
    <definedName name="Szamviteli_kat" localSheetId="1">#REF!</definedName>
    <definedName name="Szamviteli_kat" localSheetId="10">#REF!</definedName>
    <definedName name="Szamviteli_kat" localSheetId="2">#REF!</definedName>
    <definedName name="Szamviteli_kat" localSheetId="3">#REF!</definedName>
    <definedName name="Szamviteli_kat" localSheetId="4">#REF!</definedName>
    <definedName name="Szamviteli_kat" localSheetId="5">#REF!</definedName>
    <definedName name="Szamviteli_kat" localSheetId="6">#REF!</definedName>
    <definedName name="Szamviteli_kat" localSheetId="7">#REF!</definedName>
    <definedName name="Szamviteli_kat" localSheetId="11">#REF!</definedName>
    <definedName name="Szamviteli_kat" localSheetId="23">#REF!</definedName>
    <definedName name="Szamviteli_kat" localSheetId="14">#REF!</definedName>
    <definedName name="Szamviteli_kat">#REF!</definedName>
  </definedNames>
  <calcPr fullCalcOnLoad="1"/>
</workbook>
</file>

<file path=xl/comments20.xml><?xml version="1.0" encoding="utf-8"?>
<comments xmlns="http://schemas.openxmlformats.org/spreadsheetml/2006/main">
  <authors>
    <author>D?me Zs?fia</author>
  </authors>
  <commentList>
    <comment ref="B41" authorId="0">
      <text>
        <r>
          <rPr>
            <b/>
            <sz val="8"/>
            <rFont val="Tahoma"/>
            <family val="2"/>
          </rPr>
          <t>Döme Zsófia:</t>
        </r>
        <r>
          <rPr>
            <sz val="8"/>
            <rFont val="Tahoma"/>
            <family val="2"/>
          </rPr>
          <t xml:space="preserve">
A támogatás folyósítása január hónaptól havonta egyenl ő részletekben, az Ávr .-ben
meghatározott id őpontokban történik.</t>
        </r>
      </text>
    </comment>
  </commentList>
</comments>
</file>

<file path=xl/sharedStrings.xml><?xml version="1.0" encoding="utf-8"?>
<sst xmlns="http://schemas.openxmlformats.org/spreadsheetml/2006/main" count="4411" uniqueCount="1499">
  <si>
    <t>Működési bevételek</t>
  </si>
  <si>
    <t>120.</t>
  </si>
  <si>
    <t>Kormányzati funkció</t>
  </si>
  <si>
    <t>Megnevezés</t>
  </si>
  <si>
    <t>ebből: immateriális javak</t>
  </si>
  <si>
    <t>ebből: ingatlan</t>
  </si>
  <si>
    <t>ebből informatikai eszközök</t>
  </si>
  <si>
    <t>ebből: egyéb tárgyi eszközök</t>
  </si>
  <si>
    <t>ebből: áfa</t>
  </si>
  <si>
    <t>saját forrásai</t>
  </si>
  <si>
    <t>EU-s pályázat</t>
  </si>
  <si>
    <t>hitelfelvétel</t>
  </si>
  <si>
    <t>Ellátott feladat típusa</t>
  </si>
  <si>
    <t>K-61</t>
  </si>
  <si>
    <t>K-62</t>
  </si>
  <si>
    <t>K-63</t>
  </si>
  <si>
    <t>K-64</t>
  </si>
  <si>
    <t>K-67</t>
  </si>
  <si>
    <t>A/II. Önkormányzat: Út-, járdaépítés</t>
  </si>
  <si>
    <t>A/III. Önkormányzat: Szennyvíz, csapadékvíz, ivóvíz beruházások</t>
  </si>
  <si>
    <t>A/IV. Önkormányzat: Városgazdálkodási feladatok</t>
  </si>
  <si>
    <t>A/V. Önkormányzat: Ingatlan fejlesztések</t>
  </si>
  <si>
    <t>A/VI. Önkormányzat: Egyéb beruházások</t>
  </si>
  <si>
    <t>B. Intézményi kör kiadásai</t>
  </si>
  <si>
    <t>Dunaharaszti Városi Bölcsőde</t>
  </si>
  <si>
    <t>Dunaharaszti Hétszínvirág Óvoda</t>
  </si>
  <si>
    <t>Dunaharaszti Területi Gondozási Központ</t>
  </si>
  <si>
    <t>B. INTÉZMÉNYI KÖR BERUHÁZÁSAI ÖSSZESEN</t>
  </si>
  <si>
    <t>A. ÖNKORMÁNYZAT BERUHÁZÁSAI ÖSSZESEN</t>
  </si>
  <si>
    <t xml:space="preserve">A/I. Önkormányzat: Európai Uniós kiadások </t>
  </si>
  <si>
    <t>DUNAHARASZTI ÖNKORMÁNYZAT VÁROSI SZINTEN ÖSSZESEN</t>
  </si>
  <si>
    <t>Beruházási kiadások</t>
  </si>
  <si>
    <t>K1-K9</t>
  </si>
  <si>
    <t>TÁRGYÉVI MŰKÖDÉSI KIADÁSOK (K1+K2+K3+K4+K5+K9)</t>
  </si>
  <si>
    <t>TÁRGYÉVI FELHALMOZÁSI KIADÁSOK (K6+K7+K8+K9)</t>
  </si>
  <si>
    <t>Általános- és céltartalékok</t>
  </si>
  <si>
    <t>Tartalék összege</t>
  </si>
  <si>
    <t>Rendelkezési jogosultság</t>
  </si>
  <si>
    <t>I. Útépítések, víz, csapadékvíz elvezetések céltartalék</t>
  </si>
  <si>
    <t>Sor-szám</t>
  </si>
  <si>
    <t>Polgármester</t>
  </si>
  <si>
    <t>Civil szervezetek, egyházak támogatása (Művészeti, oktatási, kulturális év közben belépő feladatok)</t>
  </si>
  <si>
    <t>Képviselő-testület</t>
  </si>
  <si>
    <t>Oktatási, Művelődési és Sport Bizottság</t>
  </si>
  <si>
    <t>Városgazdálkodás: üzemeltetés, karbantartás biztonsági tartalék</t>
  </si>
  <si>
    <t>Intézményvezetők jutalmazási kerete</t>
  </si>
  <si>
    <t>Nyári napközis tábor kiadásai</t>
  </si>
  <si>
    <t xml:space="preserve">Oktatási-nevelési intézmények kulturális programjának támogatása </t>
  </si>
  <si>
    <t>Köztisztviselők felmentése, végkielégítése</t>
  </si>
  <si>
    <t>Törvény által kötelezően kifizetendő jubileumi jutalom</t>
  </si>
  <si>
    <t xml:space="preserve">Intézményi ingatlanok különféle karbantartási kerete </t>
  </si>
  <si>
    <t>Képviselő-testület rendelkezése</t>
  </si>
  <si>
    <t>Polgármester rendelkezése</t>
  </si>
  <si>
    <t>TARTALÉKOK MINDÖSSZESEN</t>
  </si>
  <si>
    <t xml:space="preserve">Működési célú támogatások államháztartáson belülről </t>
  </si>
  <si>
    <t>Sorszám</t>
  </si>
  <si>
    <t>Részgazda</t>
  </si>
  <si>
    <t>Rovat</t>
  </si>
  <si>
    <t>K-84</t>
  </si>
  <si>
    <t>Lakossági járdaépítés költsége</t>
  </si>
  <si>
    <t>Felhalmozási célú pénzeszköz átadás lakosságnak: Első lakáshoz jutók támogatása</t>
  </si>
  <si>
    <t>Szigetszentmiklósi Szakorvosi rendelő eszközpark korszerűsítés</t>
  </si>
  <si>
    <t>A, Önkormányzat</t>
  </si>
  <si>
    <t>Felhalmozási célú kölcsön nyújtása munkavállalók</t>
  </si>
  <si>
    <t>K-86</t>
  </si>
  <si>
    <t>011130 Önkormányzatok és önkormányzati hivatalok igazgatási tevékenysége</t>
  </si>
  <si>
    <t>B, Intézmények</t>
  </si>
  <si>
    <t>Működési célú támogatások</t>
  </si>
  <si>
    <t>081030</t>
  </si>
  <si>
    <t>I. Sportlétesítmények, edzőtáborok működtetése és fejlesztése</t>
  </si>
  <si>
    <t>Egyéb működési célú támogatások államháztartáson kívülre</t>
  </si>
  <si>
    <t>012</t>
  </si>
  <si>
    <t>013</t>
  </si>
  <si>
    <t>Felhalmozási célú pénzeszköz átadások, kölcsönök, lakástámogatás</t>
  </si>
  <si>
    <t>Egyéb működési célú támogatások államháztartáson belülre</t>
  </si>
  <si>
    <t>084031</t>
  </si>
  <si>
    <t>Mozgáskorlátozottak Egyesületének internet kiadások támogatása</t>
  </si>
  <si>
    <t>Dunaharaszti Vöröskereszt szervezetének támogatása</t>
  </si>
  <si>
    <t>022010</t>
  </si>
  <si>
    <t>II. Polgári honvédelem ágazati feladatai, a lakosság felkészítése</t>
  </si>
  <si>
    <t>Polgárőr Egyesület működési költség támogatása</t>
  </si>
  <si>
    <t>011130</t>
  </si>
  <si>
    <t>Pest Megyei Katasztrófavédelmi Igazgatóság támogatása</t>
  </si>
  <si>
    <t>045140</t>
  </si>
  <si>
    <t>IV. Városi és elővárosi közúti személyszállítás</t>
  </si>
  <si>
    <t>Helyi tömegközlekedés támogatása (alapfeladat és éjszakai járat)</t>
  </si>
  <si>
    <t>094260</t>
  </si>
  <si>
    <t>V. Hallgatói és oktatói ösztöndíjak, egyéb juttatások</t>
  </si>
  <si>
    <t>BURSA-HUNGARICA ösztöndíj pályázat</t>
  </si>
  <si>
    <t>081041</t>
  </si>
  <si>
    <t>K-506</t>
  </si>
  <si>
    <t>Dunaharaszti Nemzetiségi Önkormányzatok részére nyújtott támogatás államháztartáson belül</t>
  </si>
  <si>
    <t>DMTK támogatásai mindösszesen:</t>
  </si>
  <si>
    <t>Bolgár Nemzetiségi Önkormányzat</t>
  </si>
  <si>
    <t>Német Nemzetiségi Önkormányzat</t>
  </si>
  <si>
    <t>Rovatrend száma</t>
  </si>
  <si>
    <t>DUNAHARASZTI VÁROS ÖNKORMÁNYZATA ÁLTAL NYÚJTOTT MŰKÖDÉSI CÉLÚ TÁMOGATÁSOK MINDÖSSZESEN</t>
  </si>
  <si>
    <t xml:space="preserve">Működési </t>
  </si>
  <si>
    <t>Felhalmozási</t>
  </si>
  <si>
    <t>Dunaharaszti Polgármesteri Hivatal</t>
  </si>
  <si>
    <t>Dunaharaszti Mese Óvoda</t>
  </si>
  <si>
    <t>Dunaharaszti Gyermekjóléti- és Családsegítő Szolgálat</t>
  </si>
  <si>
    <t>Intézményfinanszírozási kiadások mindösszesen:</t>
  </si>
  <si>
    <t>002</t>
  </si>
  <si>
    <t>Mutató</t>
  </si>
  <si>
    <t>Fajlagos összeg</t>
  </si>
  <si>
    <t>Normatíva összege</t>
  </si>
  <si>
    <t>2. számú melléklet: A helyi önkormányzatok általános működésének és ágazati feladatainak támogatása</t>
  </si>
  <si>
    <t>I.</t>
  </si>
  <si>
    <t>A HELYI ÖNKORMÁNYZATOK MŰKÖDÉSÉNEK ÁLTALÁNOS TÁMOGATÁSA</t>
  </si>
  <si>
    <t>II.</t>
  </si>
  <si>
    <t>A TELEPÜLÉSI ÖNKORMÁNYZATOK EGYES KÖZNEVELÉSI FELADATAINAK TÁMOGATÁSA</t>
  </si>
  <si>
    <t>II.1.</t>
  </si>
  <si>
    <t>Óvodapedagógusok és az óvodapedagógusok nevelő munkáját közvetelenül segítők bértámogatása</t>
  </si>
  <si>
    <t>Óvodapedagógusok</t>
  </si>
  <si>
    <t xml:space="preserve">Óvodapedagógusok nevelő munkáját közvetlenül segítők </t>
  </si>
  <si>
    <t>II.2.</t>
  </si>
  <si>
    <t>Óvodaműködtetési támogatás</t>
  </si>
  <si>
    <t>III.</t>
  </si>
  <si>
    <t>A TELEPÜLÉSI ÖNKORMÁNYZATOK SZOCIÁLIS, GYERMEKJÓLÉTI ÉS GYERMEKÉTKEZTETÉSI FELADATAINAK TÁMOGATÁSA</t>
  </si>
  <si>
    <t>III. 1</t>
  </si>
  <si>
    <t xml:space="preserve">III. 3. </t>
  </si>
  <si>
    <t>Egyes szociális és gyermekjóléti feladatok támogatása</t>
  </si>
  <si>
    <t>III.3.a</t>
  </si>
  <si>
    <t>Szociális étkeztetés</t>
  </si>
  <si>
    <t>Házi segítségnyújtás</t>
  </si>
  <si>
    <t>Időskorúak nappali intézményi ellátása</t>
  </si>
  <si>
    <t xml:space="preserve">III. 5. </t>
  </si>
  <si>
    <t>Gyermekétkeztetés támogatása</t>
  </si>
  <si>
    <t>A finanszírozás szempontjából elismert dolgozók bértámogatása</t>
  </si>
  <si>
    <t>III. 5. b</t>
  </si>
  <si>
    <t xml:space="preserve">IV. </t>
  </si>
  <si>
    <t xml:space="preserve">A TELEPÜLÉSI ÖNKORMÁNYZATOK KULTURÁLIS FELADATAINAK TÁMOGATÁSA </t>
  </si>
  <si>
    <t>IV.1.d</t>
  </si>
  <si>
    <t>Települési önkormányzatok nyilvános könyvtári és közművelődési feladatainak támogatása</t>
  </si>
  <si>
    <t>2. számú melléklet összesen</t>
  </si>
  <si>
    <t>121.</t>
  </si>
  <si>
    <t>A/II. Önkormányzati kiadások</t>
  </si>
  <si>
    <t xml:space="preserve">A/I. Európai Uniós pályázatokhoz kapcsolódó felújítások </t>
  </si>
  <si>
    <t>K-71</t>
  </si>
  <si>
    <t>K-72</t>
  </si>
  <si>
    <t>K-73</t>
  </si>
  <si>
    <t>K-74</t>
  </si>
  <si>
    <t>ebből: informatikai eszközök</t>
  </si>
  <si>
    <t>ebből: ingatlanok</t>
  </si>
  <si>
    <t>TÁRGYÉVI MŰKÖDÉSI BEVÉTELEK (B1+B3+B4+B6+B8)</t>
  </si>
  <si>
    <t>TÁRGYÉVI FELHALMOZÁSI BEVÉTELEK (B2+B5+B7+B8)</t>
  </si>
  <si>
    <t>A beruházásokhoz kapcsolódó EU támogatások és hitelek kockázati fedezete</t>
  </si>
  <si>
    <t xml:space="preserve"> Ebből: működési tartalékok</t>
  </si>
  <si>
    <t>Kormányzati funkció száma</t>
  </si>
  <si>
    <t>Szociális ellátások, támogatások</t>
  </si>
  <si>
    <t>Összesen</t>
  </si>
  <si>
    <t>Krízishelyzet és egyéb szociális célú támogatás</t>
  </si>
  <si>
    <t>Köztemetés</t>
  </si>
  <si>
    <t>Gyógyászati segédeszköz támogatás</t>
  </si>
  <si>
    <t>Hátrányos helyzetű gyermekek üdültetése és rendezvényeik támogatása</t>
  </si>
  <si>
    <t>I. Önkormányzati segélyek</t>
  </si>
  <si>
    <t>Tartósan beteg felnőtt ápolási díja (méltányossági és TB)</t>
  </si>
  <si>
    <t xml:space="preserve"> Ebből: felhalmozási célú pénzeszköz átadások, támogatások</t>
  </si>
  <si>
    <t xml:space="preserve"> Ebből: működési célú pénzeszköz átadások, támogatások</t>
  </si>
  <si>
    <t xml:space="preserve">   Ebből: hitelfelvétellel kapcsolatos kiadások</t>
  </si>
  <si>
    <t>001</t>
  </si>
  <si>
    <t>069</t>
  </si>
  <si>
    <t>052080</t>
  </si>
  <si>
    <t>074011 Foglalkozás-egészségügyi alapellátások</t>
  </si>
  <si>
    <t>066020</t>
  </si>
  <si>
    <t>003</t>
  </si>
  <si>
    <t>006</t>
  </si>
  <si>
    <t>007</t>
  </si>
  <si>
    <t>008</t>
  </si>
  <si>
    <t>049</t>
  </si>
  <si>
    <t>Kiegészítő támogatás az óvodapedagógusok minősítéséből adódó többletkiadásokhoz</t>
  </si>
  <si>
    <t xml:space="preserve">Alapfokozatú végzettségű óvodapedagógusok </t>
  </si>
  <si>
    <t>Pedagógus II. kategóriába sorolt óvodapedagógusok kiegészítő támogatása</t>
  </si>
  <si>
    <t>Mesterpedagógus kategóriába sorolt óvodapedagógusok kiegészítő támogatása</t>
  </si>
  <si>
    <t xml:space="preserve"> </t>
  </si>
  <si>
    <t>Intézmény</t>
  </si>
  <si>
    <t>016030 Állampolgársági ügyek</t>
  </si>
  <si>
    <t>Intézmény összesen</t>
  </si>
  <si>
    <t>072450 Fizikotherápiás szolgáltatás</t>
  </si>
  <si>
    <t>074031              Család-és nővédelem egészségügyi gondozás</t>
  </si>
  <si>
    <t>074032                       Ifjúság-egészségügyi gondozás</t>
  </si>
  <si>
    <t>010 Fizikotherápiás szolgáltatás</t>
  </si>
  <si>
    <t>011                  Család-és nővédelem egészségügyi gondozás</t>
  </si>
  <si>
    <t>012                Ifjúság-egészségügyi gondozás</t>
  </si>
  <si>
    <t>016        Vendéglátás étkeztetés</t>
  </si>
  <si>
    <t>107053 Jelzőrendszeres házi segítségnyújtás</t>
  </si>
  <si>
    <t>072111        Háziorvosi alapellátás</t>
  </si>
  <si>
    <t>072420 Egészségügyi laboratóriumi szolgáltatás</t>
  </si>
  <si>
    <t>DUNAHARASZTI INTÉZMÉNYEK ÖSSZESEN</t>
  </si>
  <si>
    <t>004</t>
  </si>
  <si>
    <t>005</t>
  </si>
  <si>
    <t>011</t>
  </si>
  <si>
    <t>014</t>
  </si>
  <si>
    <t>015</t>
  </si>
  <si>
    <t>75.</t>
  </si>
  <si>
    <t>122.</t>
  </si>
  <si>
    <t>123.</t>
  </si>
  <si>
    <t>124.</t>
  </si>
  <si>
    <t>125.</t>
  </si>
  <si>
    <t>Pest Megyei Katasztrófavédelmi Igazgatóság eszközfejlesztési támogatása</t>
  </si>
  <si>
    <t xml:space="preserve">Eredeti előirányzat </t>
  </si>
  <si>
    <t>DUNAHARASZTI ÖNKORMÁNYZAT ÖSSZESEN</t>
  </si>
  <si>
    <t>VÁROSI SZINTŰ DUNAHARASZTI ÖNKORMÁNYZAT MINDÖSSZESEN</t>
  </si>
  <si>
    <t>Dunaharaszti Polgármesteri Hivatal (igazgatás)</t>
  </si>
  <si>
    <t>Dunaharaszti Polgármesteri Hivatal (adó)</t>
  </si>
  <si>
    <t>011220</t>
  </si>
  <si>
    <t>091110</t>
  </si>
  <si>
    <t>Dunaharaszti Hétszínvirág Óvoda (Hétszínvirág)</t>
  </si>
  <si>
    <t>104042</t>
  </si>
  <si>
    <t>016</t>
  </si>
  <si>
    <t>107053</t>
  </si>
  <si>
    <t>072111</t>
  </si>
  <si>
    <t>074031</t>
  </si>
  <si>
    <t>074032</t>
  </si>
  <si>
    <t>Dunaharaszti Területi Gondozási Központ (Család és nővédelem)</t>
  </si>
  <si>
    <t>Dunaharaszti Területi Gondozási Központ (Ifjúság egészségügy)</t>
  </si>
  <si>
    <t>Dunaharaszti Területi Gondozási Központ (Házi jelzőrendszer)</t>
  </si>
  <si>
    <t>Dunaharaszti Területi Gondozási Központ (Óvodai intézményi étkezés)</t>
  </si>
  <si>
    <t>Dunaharaszti Területi Gondozási Központ (Gimnáziumi intézményi étkeztetés)</t>
  </si>
  <si>
    <t>Dunaharaszti Területi Gondozási Központ (Vendéglátás étkeztetés)</t>
  </si>
  <si>
    <t>Dunaharaszti Területi Gondozási Központ (Iskolai intézményi étkeztetés)</t>
  </si>
  <si>
    <t>082044</t>
  </si>
  <si>
    <t>111 Továbbszámlázás bevétele és kiadása</t>
  </si>
  <si>
    <t>Költségvetési törvény szerinti számozás</t>
  </si>
  <si>
    <t>Felújítási kiadások</t>
  </si>
  <si>
    <t>Intézményfinanszírozási kiadások</t>
  </si>
  <si>
    <t>126.</t>
  </si>
  <si>
    <t>127.</t>
  </si>
  <si>
    <t>096015 Gyermekétkeztetés köznevelési intézményben</t>
  </si>
  <si>
    <t>104035 Gyermekétkeztetés bölcsődében, fogyatékosok nappali intézményében</t>
  </si>
  <si>
    <t>Hóeltakarítás opció</t>
  </si>
  <si>
    <t xml:space="preserve">    Ebből: államháztartáson belüli megelőlegezések visszafizetése</t>
  </si>
  <si>
    <t xml:space="preserve">      Ebből: államháztartáson belüli megelőlegezések visszafizetése</t>
  </si>
  <si>
    <t>Pályázati forrás</t>
  </si>
  <si>
    <t xml:space="preserve">Vegyes </t>
  </si>
  <si>
    <t>Vegyes</t>
  </si>
  <si>
    <t>Felhalmozási jellegű tartalékok</t>
  </si>
  <si>
    <t>Működési jellegű tartalékok</t>
  </si>
  <si>
    <t>I. Városgazdálkodás céltartalékai</t>
  </si>
  <si>
    <t>II. Finanszírozott kör céltartaléka</t>
  </si>
  <si>
    <t>III. Egyéb feladatok</t>
  </si>
  <si>
    <t>IV. Támogatások</t>
  </si>
  <si>
    <t>V. Önkormányzatok feladatok</t>
  </si>
  <si>
    <t>Sor-
szám</t>
  </si>
  <si>
    <t>Rovat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</si>
  <si>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</si>
  <si>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</si>
  <si>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</si>
  <si>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</si>
  <si>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</si>
  <si>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</si>
  <si>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</si>
  <si>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</si>
  <si>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</si>
  <si>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</si>
  <si>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</si>
  <si>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</si>
  <si>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</si>
  <si>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</si>
  <si>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</si>
  <si>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</si>
  <si>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K5</t>
  </si>
  <si>
    <t>K6</t>
  </si>
  <si>
    <t>K7</t>
  </si>
  <si>
    <t>K8</t>
  </si>
  <si>
    <t>K1-K8</t>
  </si>
  <si>
    <t>B1</t>
  </si>
  <si>
    <t>B2</t>
  </si>
  <si>
    <t>B3</t>
  </si>
  <si>
    <t>B4</t>
  </si>
  <si>
    <t>B5</t>
  </si>
  <si>
    <t>B6</t>
  </si>
  <si>
    <t>B7</t>
  </si>
  <si>
    <t>B1-B7</t>
  </si>
  <si>
    <t>K9</t>
  </si>
  <si>
    <t>B8</t>
  </si>
  <si>
    <t xml:space="preserve">Közhatalmi bevételek </t>
  </si>
  <si>
    <t xml:space="preserve">Felhalmozási célú támogatások államháztartáson belülről </t>
  </si>
  <si>
    <t>Finanszírozási kiadások</t>
  </si>
  <si>
    <t>kötelező</t>
  </si>
  <si>
    <t>önként vállalt</t>
  </si>
  <si>
    <t>államigazgatási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</si>
  <si>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</si>
  <si>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</si>
  <si>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</si>
  <si>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</si>
  <si>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</si>
  <si>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</si>
  <si>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</si>
  <si>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</si>
  <si>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</si>
  <si>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Egyéb működési célú kiadások </t>
  </si>
  <si>
    <t xml:space="preserve">Egyéb felhalmozási célú kiadások </t>
  </si>
  <si>
    <t xml:space="preserve">Költségvetési kiadások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</si>
  <si>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</si>
  <si>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</si>
  <si>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</si>
  <si>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Finanszírozási bevételek</t>
  </si>
  <si>
    <t xml:space="preserve">Beruházások </t>
  </si>
  <si>
    <t xml:space="preserve">Felhalmozási bevételek </t>
  </si>
  <si>
    <t>összesen</t>
  </si>
  <si>
    <t>Kormányzati funkciók száma és megnevezése</t>
  </si>
  <si>
    <t>Rovat száma</t>
  </si>
  <si>
    <t>018010 Önkormányzatok elszámolásai a központi költségvetéssel</t>
  </si>
  <si>
    <t>042220 Erdőgazdálkodás</t>
  </si>
  <si>
    <t>066010 Zöldterület-kezelés</t>
  </si>
  <si>
    <t>083040 Rádióműsor szolgáltatása és támogatása</t>
  </si>
  <si>
    <t>106010 Lakóingatlan szociális célú bérbeadása, üzemeltetése</t>
  </si>
  <si>
    <t>081030 Sportlétesítmények, edzőtáborok működtetése és fejlesztése</t>
  </si>
  <si>
    <t>064010 Közvilágítás</t>
  </si>
  <si>
    <t>081041 Versenysport- és utánpótlás-nevelési tevékenység és támogatása</t>
  </si>
  <si>
    <t>Kiadások</t>
  </si>
  <si>
    <t>051020                Nem veszélyes (települési) hulladék összetevőinek válogatása, elkülönített begyűjtése, szállítása, átrakása</t>
  </si>
  <si>
    <t>084020 Nemzetiségi közfeladatok ellátása és támogatása</t>
  </si>
  <si>
    <t>066020              Város-, község-gazdálkodási egyéb szolgáltatások</t>
  </si>
  <si>
    <t xml:space="preserve">029    Erdőállomány kezelés és fenntartás </t>
  </si>
  <si>
    <t>038        Dunaharaszti sajtókapcsolatai</t>
  </si>
  <si>
    <t>041                        Piac üzemeltetés</t>
  </si>
  <si>
    <t>046               Kitüntetői díjak</t>
  </si>
  <si>
    <t>048 Önkormányzati gondnokság</t>
  </si>
  <si>
    <t xml:space="preserve">054           Temető fenntartás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</si>
  <si>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</si>
  <si>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</si>
  <si>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</si>
  <si>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</si>
  <si>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</si>
  <si>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</si>
  <si>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</si>
  <si>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</si>
  <si>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</si>
  <si>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</si>
  <si>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</si>
  <si>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</si>
  <si>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</si>
  <si>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008                              Közvilágítási  bővítések, átépítések</t>
  </si>
  <si>
    <t>Eredeti előirányzat</t>
  </si>
  <si>
    <t>086030 Nemzetközi kulturális együttműködés</t>
  </si>
  <si>
    <t>900020 Önkormányzati funkcióra nem sorolható bevételek</t>
  </si>
  <si>
    <t>011130 Önkormányzatok és önkormányzati hivatalok jogalkotási és általános igazgatási tevékenysége</t>
  </si>
  <si>
    <t>081041 Versenysport- és utánpótlás-nevelési tevékenység és támogatás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</si>
  <si>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</si>
  <si>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</si>
  <si>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</si>
  <si>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</si>
  <si>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</si>
  <si>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</si>
  <si>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</si>
  <si>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</si>
  <si>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</si>
  <si>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</si>
  <si>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</si>
  <si>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</si>
  <si>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</si>
  <si>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</si>
  <si>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</si>
  <si>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</si>
  <si>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</si>
  <si>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</si>
  <si>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</si>
  <si>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</si>
  <si>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</si>
  <si>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</si>
  <si>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</si>
  <si>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</si>
  <si>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</si>
  <si>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</si>
  <si>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</si>
  <si>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</si>
  <si>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</si>
  <si>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</si>
  <si>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</si>
  <si>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</si>
  <si>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</si>
  <si>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</si>
  <si>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</si>
  <si>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</si>
  <si>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76.</t>
  </si>
  <si>
    <t>79.</t>
  </si>
  <si>
    <t>80.</t>
  </si>
  <si>
    <t>81.</t>
  </si>
  <si>
    <t>82.</t>
  </si>
  <si>
    <t>83.</t>
  </si>
  <si>
    <t>84.</t>
  </si>
  <si>
    <t>85.</t>
  </si>
  <si>
    <t>86.</t>
  </si>
  <si>
    <t>96.</t>
  </si>
  <si>
    <t>97.</t>
  </si>
  <si>
    <t>98.</t>
  </si>
  <si>
    <t>99.</t>
  </si>
  <si>
    <t>100.</t>
  </si>
  <si>
    <t>105.</t>
  </si>
  <si>
    <t>106.</t>
  </si>
  <si>
    <t>107.</t>
  </si>
  <si>
    <t>109.</t>
  </si>
  <si>
    <t>111.</t>
  </si>
  <si>
    <t>112.</t>
  </si>
  <si>
    <t xml:space="preserve">önként vállalt </t>
  </si>
  <si>
    <t>TÁRGYÉVI KIADÁSOK ÖSSZESEN</t>
  </si>
  <si>
    <t>TÁRGYÉVI BEVÉTELEK ÖSSZESEN</t>
  </si>
  <si>
    <t>115.</t>
  </si>
  <si>
    <t>116.</t>
  </si>
  <si>
    <t>117.</t>
  </si>
  <si>
    <t>118.</t>
  </si>
  <si>
    <t>119.</t>
  </si>
  <si>
    <t>Személyi juttatások</t>
  </si>
  <si>
    <t xml:space="preserve">Dologi kiadások </t>
  </si>
  <si>
    <t>Ellátottak pénzbeli juttatásai</t>
  </si>
  <si>
    <t>Felújítások</t>
  </si>
  <si>
    <t>011130                                                   Önkormányzatok és önkormányzati hivatalok jogalkoltó és általános igazgatási tevékenysége</t>
  </si>
  <si>
    <t>011220                                            Adó, vám és jövedéki igazgatás</t>
  </si>
  <si>
    <t>091110                                       Óvodai nevelés, ellátás szakmai feladatai</t>
  </si>
  <si>
    <t xml:space="preserve">091120                                              Sajátos nevelési igényű gyermekek óvodai nevelésének, ellátásának szakmai feladatai                     </t>
  </si>
  <si>
    <t xml:space="preserve">091120                                                Sajátos nevelési igényű gyermekek óvodai nevelésének, ellátásának szakmai feladatai                     </t>
  </si>
  <si>
    <t>104060                                  A gyermekek, fiatalok és családok életminőségét javító programok</t>
  </si>
  <si>
    <t>107052                                Házi segítségnyújtás</t>
  </si>
  <si>
    <t>017                                                        Előző évekről hozott hátralék</t>
  </si>
  <si>
    <t>009                                  Eü labor</t>
  </si>
  <si>
    <t>008                                              Egyéb járóbeteg</t>
  </si>
  <si>
    <t>005                                   Házi jelzőrendszer</t>
  </si>
  <si>
    <t>004                                              Házi segítségnyújtás</t>
  </si>
  <si>
    <t>003                                           Szociális étkeztetés</t>
  </si>
  <si>
    <t>001                                    Intézmény finanszírozás</t>
  </si>
  <si>
    <t>072111                                                Háziorvosi alapellátás</t>
  </si>
  <si>
    <t>002                       Étkeztetés</t>
  </si>
  <si>
    <t>001                       Intézmény finanszírozás</t>
  </si>
  <si>
    <t>082043                              Könyvtári állomány feltárása, megőrzése</t>
  </si>
  <si>
    <t>003                               Könyvtári állomány feltárása, megőrzése</t>
  </si>
  <si>
    <t>002                                 Könyvtári állomány gyarapítása</t>
  </si>
  <si>
    <t>004                                          Könyvtári szolgáltatások</t>
  </si>
  <si>
    <t>082044                                  Könyvtári szolgáltatások</t>
  </si>
  <si>
    <t>066020                          Város- és község-gazdálkodási egyéb szolgáltatások</t>
  </si>
  <si>
    <t>084040                           Egyházak közösségi és hitéleti tevékeny-ségének támogatása</t>
  </si>
  <si>
    <t>K-89</t>
  </si>
  <si>
    <t>Pályázati önrész</t>
  </si>
  <si>
    <t>II. Elkülönített számlák</t>
  </si>
  <si>
    <t>Társ. Összefogás.megv.közműfejl.lebony</t>
  </si>
  <si>
    <t xml:space="preserve">Bérlakás értékesítés </t>
  </si>
  <si>
    <t>Víziközmű számla</t>
  </si>
  <si>
    <t>Környezetvédelmi szla</t>
  </si>
  <si>
    <t>Parkolóhely megváltás számla</t>
  </si>
  <si>
    <t>Adós idegen szla</t>
  </si>
  <si>
    <t>107060                                 Egyes szociális pénzbeli és természetbeni ellátások, támogatások</t>
  </si>
  <si>
    <t>K48/24</t>
  </si>
  <si>
    <t>K48/29</t>
  </si>
  <si>
    <t xml:space="preserve">Szemétdíj átvállalása rászorultsági alapon </t>
  </si>
  <si>
    <t>K48/39</t>
  </si>
  <si>
    <t xml:space="preserve">Sorszám </t>
  </si>
  <si>
    <t>045140                                   Városi és elővárosi közúti személy-szállítás</t>
  </si>
  <si>
    <t>022010                                     Polgári honvédelem ágazati feladatai, a lakosság felkészítése</t>
  </si>
  <si>
    <t>084040                                Egyházak közösségi és hitéleti tevékenységének támogatása</t>
  </si>
  <si>
    <t>066020                                 Város-és községgazdálkodási egyéb szolgáltatás</t>
  </si>
  <si>
    <t>045120                                    Út, autópálya építése</t>
  </si>
  <si>
    <t>083030                           Egyéb kiadói tevékenység</t>
  </si>
  <si>
    <t>066020                         Város-, község-gazdálkodási egyéb szolgáltatások</t>
  </si>
  <si>
    <t>066020                          Város-, községgazdálkodási egyéb szolgáltatások</t>
  </si>
  <si>
    <t>016080                              Kiemelt állami és önkormányzati rendezvények</t>
  </si>
  <si>
    <t>066020                                   Város-, községgazdálkodási egyéb szolgáltatások</t>
  </si>
  <si>
    <t>045160                          Közutak, hidak, alagutak üzemeltetése, fenntartása</t>
  </si>
  <si>
    <t>041233                                    Hosszabb időtartamú közfoglalkoztatás</t>
  </si>
  <si>
    <t>089                                       ÁFA bevallás bevétel és kiadás</t>
  </si>
  <si>
    <t>071                                  Óvodások hallásvizsgálata, szemészeti és orthopédiai vizsgálata</t>
  </si>
  <si>
    <t>074032                            Ifjúság-egészségügyi gondozás</t>
  </si>
  <si>
    <t>016080                               Kiemelt állami és önkormányzati rendezvények</t>
  </si>
  <si>
    <t>083030                                         Egyéb kiadói tevékenység</t>
  </si>
  <si>
    <t>064010                                      Közvilágítás</t>
  </si>
  <si>
    <t>013350                                            Az önkormányzati vagyonnal való gazdálkodással kapcsolatos feladatok</t>
  </si>
  <si>
    <t>066020                      Város-, községgaz-dálkodási egyéb szolgáltatások</t>
  </si>
  <si>
    <t>047120                          Piac üzemeltetése</t>
  </si>
  <si>
    <t>066020                                                          Város-, községgazdálkodási egyéb szolgáltatások</t>
  </si>
  <si>
    <t>051030                                     Nem veszélyes (települési) hulladék vegyes (ömlesztett) begyűjtése, szállítása, átrakása</t>
  </si>
  <si>
    <t>033                            Lomtalanítás és köztéri szemétgyűjtés</t>
  </si>
  <si>
    <t>051050                            Veszélyes hulladék begyűjtése, szállítása, átrakása</t>
  </si>
  <si>
    <t>107060                                      Egyes szociális pénzbeli és természetbeni ellátások, támogatások</t>
  </si>
  <si>
    <t>031                                Külterületi szemét és veszélyes hulladék gyűjtése</t>
  </si>
  <si>
    <t>084031                                   Civil szervezetek működési támogatása</t>
  </si>
  <si>
    <t>Gyermekétkeztetés támogatása méltányossági alapon, ételallergiában szenvedő étkeztetési támogatása</t>
  </si>
  <si>
    <t>107060                     Egyes szociális pénzbeli és természetbeni ellátások, támogatások</t>
  </si>
  <si>
    <t>212                       Ételallergiában szenvedő gyerekek támogatása</t>
  </si>
  <si>
    <t>211                                 Gyógyászati segédeszköz támogatás</t>
  </si>
  <si>
    <t>Rendszeres települési támogatás ápolás céljára</t>
  </si>
  <si>
    <t>Útfenntartás rendkívüli kiadásai (útfenntartási opció)</t>
  </si>
  <si>
    <t>K-512</t>
  </si>
  <si>
    <t>013                        Óvodai intézményi étkeztetés</t>
  </si>
  <si>
    <t>015                               Gimnáziumi  intézményi étkeztetés</t>
  </si>
  <si>
    <t>107052</t>
  </si>
  <si>
    <t>Dunaharaszti Területi Gondozási Központ (Idősek nappali ellátása)</t>
  </si>
  <si>
    <t>Dunaharaszti Területi Gondozási Központ (Házi segítségnyújtás)</t>
  </si>
  <si>
    <t>062      Hétszínvirág ó. Bérleti díj</t>
  </si>
  <si>
    <t>001                                     Intézmény finanszírozás</t>
  </si>
  <si>
    <t xml:space="preserve">002                                Mese Óvoda      </t>
  </si>
  <si>
    <t>003                                 Napsugár Óvoda</t>
  </si>
  <si>
    <t>001                        Intézmény finanszírozás</t>
  </si>
  <si>
    <t xml:space="preserve">002                     Hétszínvirág Óvoda      </t>
  </si>
  <si>
    <t>001                              Intézmény finanszírozás</t>
  </si>
  <si>
    <t>002                           Polgármesteri Hivatal</t>
  </si>
  <si>
    <t>003                              Adóügyi feladatok</t>
  </si>
  <si>
    <t>004                            Anyakönyvi feladatok</t>
  </si>
  <si>
    <t>008                               Előző évekről hozott hátralék</t>
  </si>
  <si>
    <t>II.4.</t>
  </si>
  <si>
    <t>Család- és Gyermekjóléti Szolgálat</t>
  </si>
  <si>
    <t xml:space="preserve">III.3.c </t>
  </si>
  <si>
    <t xml:space="preserve">III.3.d </t>
  </si>
  <si>
    <t xml:space="preserve">III.3.f </t>
  </si>
  <si>
    <t>III.4</t>
  </si>
  <si>
    <t>A települési önkormányzatok által biztosított egyes szociális szakosított ellátások, valamint a gyermekek átmeneti gondozásával kapcsolatos feladatok támogatása</t>
  </si>
  <si>
    <t>III.4.ab</t>
  </si>
  <si>
    <t>IV.1.i</t>
  </si>
  <si>
    <t>Települési önkormányzatok könyvtári célú érdekeltségnövelő támogatása (évközi igénylés)</t>
  </si>
  <si>
    <t>004                                                  Mese Óvoda sajátos ….</t>
  </si>
  <si>
    <t>001                          Intézmény finanszírozás</t>
  </si>
  <si>
    <t>Nemzetiségi Önkormányzatok részére nyújtott támogatás összesen:</t>
  </si>
  <si>
    <t xml:space="preserve">Ügyeleti Szolgálat (Haraszti Fraxinus Kft.) támogatása </t>
  </si>
  <si>
    <t>014                                           Iskolai intézményi étkeztetés</t>
  </si>
  <si>
    <t>030                                        Zöldterület kezelés</t>
  </si>
  <si>
    <t>031070                           Baleset-megelőzés</t>
  </si>
  <si>
    <t>059                             Nemzetközi kapcsolatok</t>
  </si>
  <si>
    <t>072112                         Háziorvosi ügyeleti ellátás</t>
  </si>
  <si>
    <t>045160                        Közutak, hidak, alagutak üzemeltetése, fenntartása</t>
  </si>
  <si>
    <t>083050                           Televízió-műsor szolgáltatása és támogatása</t>
  </si>
  <si>
    <t>041160                      Földmérés, térképészet</t>
  </si>
  <si>
    <t>058                       Kiemelt állami és önkormányzati rendezvények</t>
  </si>
  <si>
    <t>031030                                 Közterület rendjének fenntartása</t>
  </si>
  <si>
    <t>074051                                Nem fertőző megbetegedések megelőzése</t>
  </si>
  <si>
    <t>074040                                    Fertőző megbetegedések megelőzése, járványügyi ellátás</t>
  </si>
  <si>
    <t>072160                                      Betegszállítás, valamint orvosi rendelvényű halottszállítás</t>
  </si>
  <si>
    <t>074                                       Betegszállítási szolgáltatások igénybevétele</t>
  </si>
  <si>
    <t>084040                                        Egyházak közösségi és hitéleti tevényekségének támogatása</t>
  </si>
  <si>
    <t>013350                                   Az önkormányzati vagyonnal való gazdálkodással kapcsolatos feladatok</t>
  </si>
  <si>
    <t>002                       Gyermekjóléti szolgáltatás</t>
  </si>
  <si>
    <t>104012                       Gyermekek átmeneti ellátása</t>
  </si>
  <si>
    <t>096025                             Munkahelyi étkeztetés köznevelési intézményben</t>
  </si>
  <si>
    <t>081061                                      Szabadidős park, fürdő és strandszolgáltatás</t>
  </si>
  <si>
    <t>039                          Játszóterek felülvizsgálata</t>
  </si>
  <si>
    <t>084032                             Civil szervezetek program-támogatása</t>
  </si>
  <si>
    <t>102.</t>
  </si>
  <si>
    <t>104.</t>
  </si>
  <si>
    <t>110.</t>
  </si>
  <si>
    <t>II. Versenysport és utánpótlás-nevelési tevékenységek támogatása</t>
  </si>
  <si>
    <t>III. Támogatások</t>
  </si>
  <si>
    <t>084                                          Tartalékok</t>
  </si>
  <si>
    <t>adatok Ft-ban</t>
  </si>
  <si>
    <t>104031                            Gyermekek bölcsődei ellátása</t>
  </si>
  <si>
    <t>104042                                                                 Család és gyermekjóléti szolgáltatások</t>
  </si>
  <si>
    <t xml:space="preserve">018030                                          Támogatási célú finanszírozási műveletek              </t>
  </si>
  <si>
    <t>102031                                 Idősek nappali ellátása</t>
  </si>
  <si>
    <t>107051                               Szociális étkeztetés</t>
  </si>
  <si>
    <t>III.    Város- és község-gazdálkodási egyéb szolgáltatások</t>
  </si>
  <si>
    <t>019                  Választott tisztségviselők (polgármester és képviselők)</t>
  </si>
  <si>
    <t>Intézmény neve</t>
  </si>
  <si>
    <t>keret-gazda</t>
  </si>
  <si>
    <t>Létszámkeret</t>
  </si>
  <si>
    <t>Dunaharaszti Város Önkormányzata</t>
  </si>
  <si>
    <t xml:space="preserve"> ebből: Választott tisztségviselő</t>
  </si>
  <si>
    <t>019</t>
  </si>
  <si>
    <t xml:space="preserve"> ebből: Piac üzemeltetés</t>
  </si>
  <si>
    <t>041</t>
  </si>
  <si>
    <t xml:space="preserve"> ebből: Önkormányzati gondnokság</t>
  </si>
  <si>
    <t>048</t>
  </si>
  <si>
    <t xml:space="preserve"> ebből: Közterület felügyelet , rendőrség, közterületi kamerák</t>
  </si>
  <si>
    <t xml:space="preserve"> ebből: Temető fenntartás</t>
  </si>
  <si>
    <t>054</t>
  </si>
  <si>
    <t xml:space="preserve"> ebből: Temetkezés</t>
  </si>
  <si>
    <t>055</t>
  </si>
  <si>
    <t xml:space="preserve"> ebből: Polgármesteri Hivatal</t>
  </si>
  <si>
    <t xml:space="preserve"> ebből: Adóügyi feladatok</t>
  </si>
  <si>
    <t xml:space="preserve"> ebből: Anyakönyvi feladatok</t>
  </si>
  <si>
    <t xml:space="preserve"> ebből: Étkeztetés</t>
  </si>
  <si>
    <t xml:space="preserve"> ebből: Gyermekek egyéb ellátása</t>
  </si>
  <si>
    <t xml:space="preserve"> ebből: Hétszínvirág Óvoda</t>
  </si>
  <si>
    <t xml:space="preserve"> ebből: Százszorszép Óvoda</t>
  </si>
  <si>
    <t xml:space="preserve"> ebből: Szivárvány Óvoda</t>
  </si>
  <si>
    <t xml:space="preserve"> ebből: Mese Óvoda</t>
  </si>
  <si>
    <t xml:space="preserve"> ebből: Napsugár Óvoda</t>
  </si>
  <si>
    <t xml:space="preserve"> ebből: Idősek nappali ellátása</t>
  </si>
  <si>
    <t xml:space="preserve"> ebből: Szociális étkeztetés</t>
  </si>
  <si>
    <t xml:space="preserve"> ebből: Házi segítségnyújtás</t>
  </si>
  <si>
    <t xml:space="preserve"> ebből: Jelzőrendszeres házi segítségnyújtás</t>
  </si>
  <si>
    <t xml:space="preserve"> ebből:  Egyéb m.n.s. járóbetegellátás</t>
  </si>
  <si>
    <t xml:space="preserve"> ebből: Egészségügyi laboratóriumi szolgáltatás</t>
  </si>
  <si>
    <t>009</t>
  </si>
  <si>
    <t xml:space="preserve"> ebből: Fizikotherápiás szolgáltatás</t>
  </si>
  <si>
    <t>010</t>
  </si>
  <si>
    <t xml:space="preserve"> ebből: Család- és nővédelem egészségügyi gondozás</t>
  </si>
  <si>
    <t xml:space="preserve"> ebből: Ifjúság-egészségügyi gondozás</t>
  </si>
  <si>
    <t xml:space="preserve"> ebből: Könyvtári szolgáltatások</t>
  </si>
  <si>
    <t xml:space="preserve"> ebből: Közművelődési tevékenység</t>
  </si>
  <si>
    <t>Dunaharaszti Gyermekjóléti és Családsegítő Szolgálat</t>
  </si>
  <si>
    <t>VÁROSI SZINTŰ ÖNKORMÁNYZAT MINDÖSSZESEN</t>
  </si>
  <si>
    <t>043                                          Lakihegy rádió</t>
  </si>
  <si>
    <t>055                                  Temetkezés</t>
  </si>
  <si>
    <t>013320                                                            Köztemető-fenntartás és működtetés</t>
  </si>
  <si>
    <t>085                                 Intézmény finanszírozás</t>
  </si>
  <si>
    <t>091110                                                                             Óvodai nevelés, ellátás szakmai feladatai</t>
  </si>
  <si>
    <t>018030                      Támogatási célú finanszírozási műveletek</t>
  </si>
  <si>
    <t>091110                          Óvodai nevelés, ellátás szakmai feladatai</t>
  </si>
  <si>
    <t>091110                                         Óvodai nevelés, ellátás szakmai feladatai</t>
  </si>
  <si>
    <t>072210                                      Járóbetegek gyógyító szakellátása</t>
  </si>
  <si>
    <t>081045                                Szabadidősport- (rekreációs sport-) tevékenység</t>
  </si>
  <si>
    <t>052080                   Szennyvíz-csatorna építése, fenntartása, üzemeltetése</t>
  </si>
  <si>
    <t>061030                          Lakáshoz jutást segítő támogatások</t>
  </si>
  <si>
    <t>082064                            Múzeumi közművelődési, közönségkap-csolati tevékenység</t>
  </si>
  <si>
    <t>031030                            Közterület rendjének fenntartása</t>
  </si>
  <si>
    <t>018030                        Támogatási célú finanszírozási műveletek</t>
  </si>
  <si>
    <t>018030                  Támogatási célú finanszírozási műveletek</t>
  </si>
  <si>
    <t>018030                       Támogatási célú finanszírozási műveletek</t>
  </si>
  <si>
    <t>082042                              Könyvtári állomány gyarapítása, nyilvántartása</t>
  </si>
  <si>
    <t xml:space="preserve">018030                                      Támogatási célú finanszírozási műveletek              </t>
  </si>
  <si>
    <t>Polgármesteri Hivatal</t>
  </si>
  <si>
    <t>Létszámkeret  (fő)</t>
  </si>
  <si>
    <t>Tervezett átlagos statisztikai állományi létszám (fő)</t>
  </si>
  <si>
    <t>Nyitólétszám (az időszak első napján munkavégzésre irányuló jogviszonyban állók statisztikai állományi létszáma) (fő)</t>
  </si>
  <si>
    <t>Munkajogi nyitólétszám (az időszak első napján munkaviszonyban állók létszáma) (fő)</t>
  </si>
  <si>
    <t>018030                             Támogatási célú finanszírozási műveletek</t>
  </si>
  <si>
    <t>Dunaharaszti Város Önkormányzata létszám</t>
  </si>
  <si>
    <t>006                          Előző évi hátralék</t>
  </si>
  <si>
    <t>Vegyes (előző évi maradvány: 018030)</t>
  </si>
  <si>
    <t>111                                                       Továbbszámlázás bevétele és kiadása</t>
  </si>
  <si>
    <t>006                                                         Nyári napközis tábor</t>
  </si>
  <si>
    <t>104042                                                     Család és gyermekjóléti szolgáltatások</t>
  </si>
  <si>
    <t>006                                Damjanich u. 32.                                        Orvosi rendelő</t>
  </si>
  <si>
    <t>018                                                        Nyári napközi étkezés</t>
  </si>
  <si>
    <t>900020                                                    Önkormányzhati funkcióra nem sorolható bevételei</t>
  </si>
  <si>
    <t>007                                   Fő út 35. Gyermekorvosi rendelő</t>
  </si>
  <si>
    <t>082044                                           Könyvtári szolgáltatások</t>
  </si>
  <si>
    <t>007                              Könyvtári elkülönített SZJA 1%-os számla</t>
  </si>
  <si>
    <t>016030</t>
  </si>
  <si>
    <t>Dunaharaszti Polgármesteri Hivatal (anyakönyv)</t>
  </si>
  <si>
    <t>107051</t>
  </si>
  <si>
    <t>Dunaharaszti Területi Gondozási Központ (Szociális étkeztetés)</t>
  </si>
  <si>
    <t>Dunaharaszti Területi Gondozási Központ (Damjanich u. 32.)</t>
  </si>
  <si>
    <t>Dunaharaszti Területi Gondozási Központ (Fő út 35. Gyermekorvosi rendelő)</t>
  </si>
  <si>
    <t>072420</t>
  </si>
  <si>
    <t>Dunaharaszti Területi Gondozási Központ (Eü-i labor)</t>
  </si>
  <si>
    <t>072450</t>
  </si>
  <si>
    <t>Dunaharaszti Területi Gondozási Központ (Fizikotherápia)</t>
  </si>
  <si>
    <t>Ágazati pótlék, bérkompenzáció, személyi juttatás és járulék tartalék</t>
  </si>
  <si>
    <t>K48/33</t>
  </si>
  <si>
    <t>104037                                                               Intézményen kívüli gyermekétkeztetés</t>
  </si>
  <si>
    <t>072440                                      Mentés</t>
  </si>
  <si>
    <t>068                                             Közműfejlesztési hozzájárulás</t>
  </si>
  <si>
    <t>052080                        Szennyvízcsatorna építése, fenntartása, üzemeltet.                                                    063080                                       Vízellátással lapcsolatos közmű építése, fenntart.</t>
  </si>
  <si>
    <t>087                             Elektromos autó töltőállomás</t>
  </si>
  <si>
    <t>049010                                        Máshova nem sorolt gazdasági ügyek</t>
  </si>
  <si>
    <t>128.</t>
  </si>
  <si>
    <t>129.</t>
  </si>
  <si>
    <t>131.</t>
  </si>
  <si>
    <t>132.</t>
  </si>
  <si>
    <t>133.</t>
  </si>
  <si>
    <t>134.</t>
  </si>
  <si>
    <t>Települési támogatás</t>
  </si>
  <si>
    <t>022</t>
  </si>
  <si>
    <t>Rendszeres települési támogatás gyógyszerköltségre</t>
  </si>
  <si>
    <t>060</t>
  </si>
  <si>
    <t xml:space="preserve">052020                                         Szennyvíz gyűjtése, tisztítása, elhelyezése </t>
  </si>
  <si>
    <t xml:space="preserve">DMTK részére nyújtott támogatások </t>
  </si>
  <si>
    <t>056                                          Közvilágítás, parkok díszvilágításának karbantartása, karácsonyi díszvilágítás felszerelése, karbantartása</t>
  </si>
  <si>
    <t>020                  Önkormányzati igazgatás</t>
  </si>
  <si>
    <t xml:space="preserve">215                                                   Rendszeres települési támogatás ápolás céljára </t>
  </si>
  <si>
    <t>A HELYI ÖNKORMÁNYZATOK MŰKÖDÉSÉNEK ÁLTALÁNOS TÁMOGATÁSA - beszámítás után</t>
  </si>
  <si>
    <t>I.1.a</t>
  </si>
  <si>
    <t>Önkormányzati hivatal működésének támogatása - elismert hivatali létszám alapján</t>
  </si>
  <si>
    <t>I.1.a - V.</t>
  </si>
  <si>
    <t>Önkormányzati hivatal működésének támogatása - beszámítás után</t>
  </si>
  <si>
    <t>I.1.b</t>
  </si>
  <si>
    <t xml:space="preserve">Támogatás összesen </t>
  </si>
  <si>
    <t>I.1.b - V.</t>
  </si>
  <si>
    <t xml:space="preserve">Támogatás összesen - beszámítás után </t>
  </si>
  <si>
    <t>I.1.ba</t>
  </si>
  <si>
    <t xml:space="preserve">A zöldterület-gazdálkodással kapcsolatos feladatok ellátásának támogatása </t>
  </si>
  <si>
    <t>I.1.ba - V.</t>
  </si>
  <si>
    <t xml:space="preserve">A zöldterület-gazdálkodással kapcsolatos feladatok ellátásának támogatása - beszámítás után </t>
  </si>
  <si>
    <t>I.1.bb</t>
  </si>
  <si>
    <t xml:space="preserve">Közvilágítás fenntartásának támogatása </t>
  </si>
  <si>
    <t>I.1.bb - V.</t>
  </si>
  <si>
    <t xml:space="preserve">Közvilágítás fenntartásának támogatása - beszámítás után </t>
  </si>
  <si>
    <t>I.1.bc</t>
  </si>
  <si>
    <t xml:space="preserve">Köztemető fenntartással kapcsolatos feladatok támogatása </t>
  </si>
  <si>
    <t>I.1.bc - V.</t>
  </si>
  <si>
    <t xml:space="preserve">Köztemető fenntartással kapcsolatos feladatok támogatása - beszámítás után </t>
  </si>
  <si>
    <t>I.1.bd</t>
  </si>
  <si>
    <t xml:space="preserve">Közutak fenntartásának támogatása </t>
  </si>
  <si>
    <t>I.1.bd - V.</t>
  </si>
  <si>
    <t xml:space="preserve">Közutak fenntartásának támogatása - beszámítás után </t>
  </si>
  <si>
    <t>I.1.c</t>
  </si>
  <si>
    <t>Egyéb önkormányzati feladatok támogatása</t>
  </si>
  <si>
    <t>I.1.c - V.</t>
  </si>
  <si>
    <t>I.1.d</t>
  </si>
  <si>
    <t>Lakott külterülettel kapcsolatos feladatok támogatása</t>
  </si>
  <si>
    <t>I.1.d - V.</t>
  </si>
  <si>
    <t>Lakott külterülettel kapcsolatos feladatok támogatása - beszámítás után</t>
  </si>
  <si>
    <t>I.1.e</t>
  </si>
  <si>
    <t>Üdülőhelyi feladatok támogatása</t>
  </si>
  <si>
    <t>I.1.e - V.</t>
  </si>
  <si>
    <t>Üdülőhelyi feladatok támogatása - beszámítás után</t>
  </si>
  <si>
    <t>I.1. - V.</t>
  </si>
  <si>
    <t>A települési önkormányzatok működésének támogatása beszámítás és kiegészítés után</t>
  </si>
  <si>
    <t>V. Info</t>
  </si>
  <si>
    <t>Beszámítás</t>
  </si>
  <si>
    <t xml:space="preserve">V. I.1. </t>
  </si>
  <si>
    <t>I.1. jogcímekhez kapcsolódó kiegészítés</t>
  </si>
  <si>
    <t xml:space="preserve">V. szolid. </t>
  </si>
  <si>
    <t>Szolidaritási hozzájárulás</t>
  </si>
  <si>
    <t>Szociális ágazati összevont pótlék</t>
  </si>
  <si>
    <t>III.3.da</t>
  </si>
  <si>
    <t>Szociális segítés</t>
  </si>
  <si>
    <t>III.3.db</t>
  </si>
  <si>
    <t>Személyi gondozás</t>
  </si>
  <si>
    <t>085</t>
  </si>
  <si>
    <t>007                                                       Ingatlanfejlesztések (Ingatlan vásárlás)</t>
  </si>
  <si>
    <t xml:space="preserve"> ebből: Önkormányzati igazgatás</t>
  </si>
  <si>
    <t>020</t>
  </si>
  <si>
    <t>Települési támogatás: Időskorúak és gondnokoltak karácsonyi csomagja és rendezvényeik</t>
  </si>
  <si>
    <t xml:space="preserve">    Ebből: működési célú pénzmaradvány</t>
  </si>
  <si>
    <t xml:space="preserve">    Ebből: felhalmozási célú pénzmaradvány</t>
  </si>
  <si>
    <t xml:space="preserve">    Ebből: működési célú intézményfinanszírozás bevétele</t>
  </si>
  <si>
    <t xml:space="preserve">    Ebből: felhalmozási célú intézményfinanszírozás bevétele</t>
  </si>
  <si>
    <t>107060                                                                                                Egyes szociális pénzbeli és természetbeni ellátások, támogatások</t>
  </si>
  <si>
    <t>013320</t>
  </si>
  <si>
    <t xml:space="preserve"> ebből: Iskolai intézményi étkeztetés</t>
  </si>
  <si>
    <t>K-915                                                                                                              Központi, irányítószervi támogatás folyósítása</t>
  </si>
  <si>
    <t>061030                                        Lakáshoz jutást segítő támogatások</t>
  </si>
  <si>
    <t>104</t>
  </si>
  <si>
    <t>I. Versenysport és utánpótlás-nevelési tevékenységek támogatása</t>
  </si>
  <si>
    <t>DMTK-KVSE Aquasport Egyesület részére nyújtott támogatás</t>
  </si>
  <si>
    <t>Úszó szakosztály támogatása</t>
  </si>
  <si>
    <t>135.</t>
  </si>
  <si>
    <t>136.</t>
  </si>
  <si>
    <t>137.</t>
  </si>
  <si>
    <t>138.</t>
  </si>
  <si>
    <t>018020                                                     Központi költségvetési befizetések</t>
  </si>
  <si>
    <t>104031</t>
  </si>
  <si>
    <t xml:space="preserve"> 063080                                       Vízellátással kapcsolatos közmű építése, fenntart.</t>
  </si>
  <si>
    <t>139.</t>
  </si>
  <si>
    <t>063080</t>
  </si>
  <si>
    <t>105</t>
  </si>
  <si>
    <t>052080                        Szennyvízcsatorna építése, fenntartása, üzemeltet.</t>
  </si>
  <si>
    <t>Ebből: elvonások és befizetések</t>
  </si>
  <si>
    <t xml:space="preserve"> Ebből: elvonások és befizetések</t>
  </si>
  <si>
    <t>VÁROSI SZINTŰ ÖNKORMÁNYZATI SEGÉLYEK MINDÖSSZESEN</t>
  </si>
  <si>
    <t xml:space="preserve">Normatíva felülvizsgálat tartalék </t>
  </si>
  <si>
    <t xml:space="preserve">    Ebből: működési célú intézményfinanszírozás kiadása</t>
  </si>
  <si>
    <t xml:space="preserve">    Ebből: felhalmozási célú intézményfinanszírozás kiadása</t>
  </si>
  <si>
    <t>104035</t>
  </si>
  <si>
    <t>102031</t>
  </si>
  <si>
    <t>096015</t>
  </si>
  <si>
    <t>096025</t>
  </si>
  <si>
    <t>082091</t>
  </si>
  <si>
    <t>Dunaharaszti Család- és Gyermekjóléti Szolgálat (Gyermekjóléti)</t>
  </si>
  <si>
    <t>Dunaharaszti Család- és Gyermekjóléti Szolgálat (Családsegítő)</t>
  </si>
  <si>
    <t xml:space="preserve">  Ebből: működési célú pénzeszköz átadások, támogatások</t>
  </si>
  <si>
    <t xml:space="preserve">  Ebből: működési tartalékok</t>
  </si>
  <si>
    <t xml:space="preserve">  Ebből: elvonások és befizetések</t>
  </si>
  <si>
    <t xml:space="preserve">  Ebből: felhalmozási célú pénzeszköz átadások, támogatások</t>
  </si>
  <si>
    <t xml:space="preserve">    Ebből: államháztartáson belüli megelőlegezések</t>
  </si>
  <si>
    <t>900060                               Forgatási és befektetési célú finanszírozási műveletek                                   018010                                Önkormányzatok elszámolásai a központi költségvetéssel</t>
  </si>
  <si>
    <t>051                                                Nem lakáscélú önk.ing.</t>
  </si>
  <si>
    <t>066020                                   Város-, községgazdálkodási egyéb szolgáltatások  043610                       Egyéb energiaipar igazgatása és támogatása</t>
  </si>
  <si>
    <t>104031                                    Gyermekek bölcsődei ellátása</t>
  </si>
  <si>
    <t>091140                                      Óvodai nevelés, ellátás működtetési feladatai</t>
  </si>
  <si>
    <t>108                                                     ASP Központhoz való csatlakozás</t>
  </si>
  <si>
    <t>072111                                Háziorvosi ellátás</t>
  </si>
  <si>
    <t>063                                  Művészeti Alkotótábor</t>
  </si>
  <si>
    <t>082030                                   Művészeti tevékenységek</t>
  </si>
  <si>
    <t>142.</t>
  </si>
  <si>
    <t xml:space="preserve">   Ebből: működési célú pénzeszköz átadások, támogatások</t>
  </si>
  <si>
    <t xml:space="preserve">   Ebből: elvonások és befizetések</t>
  </si>
  <si>
    <t xml:space="preserve">   Ebből: működési tartalékok</t>
  </si>
  <si>
    <t xml:space="preserve">   Ebből: felhalmozási célú pénzeszköz átadások, támogatások</t>
  </si>
  <si>
    <t xml:space="preserve">   Ebből: hitelfelvétel</t>
  </si>
  <si>
    <t xml:space="preserve">    Ebből: államháztartáson belüli megelőlegezések </t>
  </si>
  <si>
    <t>004                                                 Helytörténeti emléktár</t>
  </si>
  <si>
    <t>003                                  Közművelődési tevékenység</t>
  </si>
  <si>
    <t xml:space="preserve">002                               Laffert-kúria </t>
  </si>
  <si>
    <t>082091                             Közművelődés- közösségi és társadalmi részvétel fejlesztése</t>
  </si>
  <si>
    <t>082063                                   Múzeumi kiállító tevékenység</t>
  </si>
  <si>
    <t>082030                                      Művészeti tevékenységek</t>
  </si>
  <si>
    <t>003                        Százszorszép Óvoda</t>
  </si>
  <si>
    <t>002                               Szivárvány Óvoda</t>
  </si>
  <si>
    <t>045120</t>
  </si>
  <si>
    <t>064010</t>
  </si>
  <si>
    <t xml:space="preserve">Közvilágítás bővítése lakossági igény szerint </t>
  </si>
  <si>
    <t>Választott tisztségviselők (polgármester és képviselők) eszközfejlesztés</t>
  </si>
  <si>
    <t>033</t>
  </si>
  <si>
    <t>Köztéri szemétgyűjtők beszerzése</t>
  </si>
  <si>
    <t>051030</t>
  </si>
  <si>
    <t>Piac eszközbeszerzés</t>
  </si>
  <si>
    <t>047120</t>
  </si>
  <si>
    <t>Temető fenntartás eszközbeszerzés</t>
  </si>
  <si>
    <t>Temetkezés eszközbeszerzés</t>
  </si>
  <si>
    <t>Iskolák különféle karbantartási tartalék</t>
  </si>
  <si>
    <t>Városi szintű gyesen, gyeden lévő munkavállalók visszatérési tartaléka</t>
  </si>
  <si>
    <t>Dunaharaszti Szivárvány Óvoda (Szivárvány)</t>
  </si>
  <si>
    <t>Dunaharaszti Szivárvány Óvoda (Százszorszép)</t>
  </si>
  <si>
    <t>005                               Előző évekről hozott hátralék</t>
  </si>
  <si>
    <t>Dunaharaszti Városi Könyvtár (Könyvtári szolgáltatás)</t>
  </si>
  <si>
    <t>Dunaharaszti József Attila Művelődési Ház (Laffert-kúria)</t>
  </si>
  <si>
    <t>Dunaharaszti József Attila Művelődési Ház (Közművelődési tevékenység)</t>
  </si>
  <si>
    <t>082030</t>
  </si>
  <si>
    <t>Dunaharaszti Szivárvány Óvoda</t>
  </si>
  <si>
    <t>Dunaharaszti József Attila Művelődési Ház</t>
  </si>
  <si>
    <t>108</t>
  </si>
  <si>
    <t>ASP pályázati támogatás</t>
  </si>
  <si>
    <t>109</t>
  </si>
  <si>
    <t>Sportcsarnok beruházás</t>
  </si>
  <si>
    <t>084032</t>
  </si>
  <si>
    <t xml:space="preserve">Egyéb önkormányzati feladatok támogatása - beszámítás után </t>
  </si>
  <si>
    <t>I.5.</t>
  </si>
  <si>
    <t xml:space="preserve">Óvodaműködtetési támogatás 8 hó </t>
  </si>
  <si>
    <t xml:space="preserve"> II.4.a(1)</t>
  </si>
  <si>
    <t xml:space="preserve"> II.4.b(1)</t>
  </si>
  <si>
    <t xml:space="preserve"> II.4.a(2)</t>
  </si>
  <si>
    <t xml:space="preserve"> II.4.b(2)</t>
  </si>
  <si>
    <t>Gyermekétkeztetés üzemeltetési támogatása (Miniszteri döntés függvénye)</t>
  </si>
  <si>
    <t xml:space="preserve">A rászoruló gyermekek intézményen kívüli szünidei étkeztetésének támogatása </t>
  </si>
  <si>
    <t>Bölcsőde, mini bölcsőde támogatása</t>
  </si>
  <si>
    <t>III.7.a</t>
  </si>
  <si>
    <t>Felsőfokú végzettségű kisgyermeknevelők, szaktanácsadók bértámogatása</t>
  </si>
  <si>
    <t>Bölcsődei dajkák, középfokú végzettségű kisgyermeknevelők, szaktanácsadók bértámogatása</t>
  </si>
  <si>
    <t>IV.3.</t>
  </si>
  <si>
    <t>Kulturális illetménypótlék</t>
  </si>
  <si>
    <t>Gyermekétkeztetés támogatása méltányossági alapon, tartósan beteg gyermekek étkeztetési támogatása</t>
  </si>
  <si>
    <t xml:space="preserve">Roma Nemzetiségi Önkormányzat </t>
  </si>
  <si>
    <t>002                                           Idősek nappali ellátása</t>
  </si>
  <si>
    <t>VI. Civil  szervezetek program támogatása</t>
  </si>
  <si>
    <t>081030                                             Sportlétesítmények, edzőtáborok működtet.és fejl.</t>
  </si>
  <si>
    <t>081045                                      Szabadidősport- (rekreációs sport-) tevékenység</t>
  </si>
  <si>
    <t>091140</t>
  </si>
  <si>
    <t>Dunaharaszti Mese Óvoda (Mese)</t>
  </si>
  <si>
    <t>Dunaharaszti Mese Óvoda (Napsugár)</t>
  </si>
  <si>
    <t>ebből: Sportcsarnok</t>
  </si>
  <si>
    <t>Dunaharaszti Városi Könyvtár</t>
  </si>
  <si>
    <t xml:space="preserve"> ebből: Gyermekjóléti szolgáltatás és Családsegítés</t>
  </si>
  <si>
    <t xml:space="preserve"> ebből: Laffert-kúria</t>
  </si>
  <si>
    <t xml:space="preserve"> ebből: Helytörténeti emléktár</t>
  </si>
  <si>
    <t>-</t>
  </si>
  <si>
    <r>
      <t xml:space="preserve">120/2017.(XI.27.) sz. Kt. Határozat: </t>
    </r>
    <r>
      <rPr>
        <b/>
        <sz val="10"/>
        <rFont val="Garamond"/>
        <family val="1"/>
      </rPr>
      <t>KisDuna TV támogatása</t>
    </r>
  </si>
  <si>
    <t>VAGABOND Korzó támogatása</t>
  </si>
  <si>
    <t>143.</t>
  </si>
  <si>
    <t>045120                                    Út, autópálya építése;                                           045160                        Közutak, hidak, alagutak üzemeltetése, fenntartása</t>
  </si>
  <si>
    <t>Mályvavirág Központ (Alapítvány) támogatása</t>
  </si>
  <si>
    <t>072                          Iskoláskorú fiúk HPV oltása, Rota vírus oltása</t>
  </si>
  <si>
    <t>004                                        Városgazdálkodási feladatok</t>
  </si>
  <si>
    <t>066020                                 Város- és községgazdálkodási egyéb szolgáltatás</t>
  </si>
  <si>
    <t>Szennyvíz bérleti díj felhasználás 2018. év (Szennyvíz)</t>
  </si>
  <si>
    <t xml:space="preserve"> Szennyvíz bérleti díj felhasználás 2018. év (Ivóvíz)</t>
  </si>
  <si>
    <t>Közlekedési információs rendszer</t>
  </si>
  <si>
    <t>Vízi közmű bérleti díj elkül. Szla (kiadási oldala 069, 105 részgazda)</t>
  </si>
  <si>
    <t>068</t>
  </si>
  <si>
    <t>510-es főút mentén a DTCS és Taksony közti szakaszon a vízellátás és szennyvízelvezetés tervezése</t>
  </si>
  <si>
    <t>Épületenergetikai pályázat KEHOP-5.2.9</t>
  </si>
  <si>
    <t>013350</t>
  </si>
  <si>
    <t>016010                                                                  Országgy.önkorm. és európai parl.képv.vál.kap.tev.</t>
  </si>
  <si>
    <t>045160                                     Közutak, hidak, alagutak üzemeltetése, fenntartása</t>
  </si>
  <si>
    <t>005                                                 Előző évekről hozott hátralék</t>
  </si>
  <si>
    <t xml:space="preserve">    Ebbő: felhalmozási célú intézményfinanszírozás bevétele</t>
  </si>
  <si>
    <t>003                        Gyermekek egyéb ellátása                             (régi)</t>
  </si>
  <si>
    <t>004                        Gyermekek egyéb ellátása                                     (új tagbölcsőde)</t>
  </si>
  <si>
    <t>031030</t>
  </si>
  <si>
    <t>halasztott</t>
  </si>
  <si>
    <t>Okos zebra</t>
  </si>
  <si>
    <t>Egyházak eszközfejlesztésének támogatása (Dunaharaszti Evangélikus Egyházközség épületének felújítása)</t>
  </si>
  <si>
    <t>Bárka Alapítvány</t>
  </si>
  <si>
    <t>Beszélj Velem Alapítvány</t>
  </si>
  <si>
    <t>Péter Cerny Alapítvány</t>
  </si>
  <si>
    <t>Be nem fogadott EU-s pályázati pénzek</t>
  </si>
  <si>
    <t>Közalkalmazottak jutalom kerete</t>
  </si>
  <si>
    <t>004                        Szivárvány Óvoda SNI</t>
  </si>
  <si>
    <t>A 2018. évről áthúzódó bérkompenzáció támogatása</t>
  </si>
  <si>
    <t>8 hónap</t>
  </si>
  <si>
    <t>4 hónap</t>
  </si>
  <si>
    <t xml:space="preserve">Óvodaműködtetési támogatás 4 hó </t>
  </si>
  <si>
    <t>Pedagógus II. kategóriába sorolt óvodapedagógusok kiegészítő támogatása 2019.01.01. átsorolással</t>
  </si>
  <si>
    <t>Mesterpedagógus kategóriába sorolt óvodapedagógusok kiegészítő támogatása 2019.01.01. átsorolással</t>
  </si>
  <si>
    <t>II.5</t>
  </si>
  <si>
    <t>Nemzetiségi pótlék</t>
  </si>
  <si>
    <t>Óvoda napi nyitvatartási ideje eléri a nyolc órát</t>
  </si>
  <si>
    <t>Átmeneti gondozás</t>
  </si>
  <si>
    <t>III. 5. aa</t>
  </si>
  <si>
    <t>III. 5. ab</t>
  </si>
  <si>
    <t xml:space="preserve">III.6. </t>
  </si>
  <si>
    <t>III.7.b</t>
  </si>
  <si>
    <t>Bölcsődei üzemeltetési támogatása (Miniszteri döntés függvénye)</t>
  </si>
  <si>
    <t>102023                                     Időskorúak tartós bentlakásos ellátása</t>
  </si>
  <si>
    <t>2019. évi előirányzat</t>
  </si>
  <si>
    <t>2019. évi ütem forrásai</t>
  </si>
  <si>
    <t>Eredeti előirányzat 2019. évben</t>
  </si>
  <si>
    <t>052                        Lakásgazdál-kodással kapcsolatos feladatok</t>
  </si>
  <si>
    <t>082063</t>
  </si>
  <si>
    <t>Dunaharaszti József Attila Művelődési Ház (Helytörténeti emléktár)</t>
  </si>
  <si>
    <t>Közterületi kamerák beszerzése</t>
  </si>
  <si>
    <t>088</t>
  </si>
  <si>
    <t>Kisposta</t>
  </si>
  <si>
    <t>049010</t>
  </si>
  <si>
    <t>Vis maior tartalék</t>
  </si>
  <si>
    <t>034                                                        Helyi közutak fenntartása, rendkívüli síkosság mentesítés</t>
  </si>
  <si>
    <t xml:space="preserve"> ebből: Hétszínvirág Óvoda sajátos nevelési igényű gyerekekkel foglalkozók</t>
  </si>
  <si>
    <t>001                                  2019. évi útépítések</t>
  </si>
  <si>
    <t>002                                       2019. évi csap.víz elvezetések</t>
  </si>
  <si>
    <t>2019. évben megvalósítható halasztott tételek</t>
  </si>
  <si>
    <t>072111                                                   Háziorvosi ellátás</t>
  </si>
  <si>
    <t>003                                        Városgazdálkodási feladatok</t>
  </si>
  <si>
    <t>Baktay tér szökőkút felújítás</t>
  </si>
  <si>
    <t>Kegyeleti park szökőkút felújítás</t>
  </si>
  <si>
    <t xml:space="preserve">    045120                                    Út, autópálya építése; </t>
  </si>
  <si>
    <t>128</t>
  </si>
  <si>
    <t>128                                          Temető utca felújítása (PM_ONKORMUT_2018) BELÜLI</t>
  </si>
  <si>
    <t>Temető utca felújítása BELÜLI</t>
  </si>
  <si>
    <t>Temető utca felújítása KÍVÜLI</t>
  </si>
  <si>
    <t>Millenium utca útépítése</t>
  </si>
  <si>
    <t>Kőrösi Csoma Sándor utca útfelújítása (Csokonai-MÁV átjáró)</t>
  </si>
  <si>
    <t>Határ út útfelújítás (MÁV átjáró - Táncsics szakasz)</t>
  </si>
  <si>
    <t>'052080</t>
  </si>
  <si>
    <t>Temető utca csapadékvíz elvezető rendszer felújítása</t>
  </si>
  <si>
    <t>Burkolt árok építése 200 fm</t>
  </si>
  <si>
    <t>Földárok építése 200 fm</t>
  </si>
  <si>
    <t>Csapadékvíz beruházások lakossági kérésre</t>
  </si>
  <si>
    <t>Polgármesteri Hivatal 2019. évi eredeti előirányzat</t>
  </si>
  <si>
    <t>Hétszínvirág Óvoda 2019. évi eredeti előirányzat</t>
  </si>
  <si>
    <t>Mese Óvoda 2019. évi eredeti előirányzat</t>
  </si>
  <si>
    <t>Városi Bölcsöde 2019. évi eredeti előirányzat</t>
  </si>
  <si>
    <t>Dunaharaszti Család- és Gyermekjóléti Szolgálat 2019. évi eredeti előirányzat</t>
  </si>
  <si>
    <t>Dunaharaszti Területi Gondozási Központ 2019. évi eredeti előirányzat</t>
  </si>
  <si>
    <t>Dunaharaszti Városi Könyvtár 2019. évi eredeti előirányzat</t>
  </si>
  <si>
    <t>József Attila Művelődési Ház  2019. évi eredeti előirányzat</t>
  </si>
  <si>
    <t>Dunaharaszti Szivárvány Óvoda 2019. évi eredeti előirányzat</t>
  </si>
  <si>
    <t>Városfelügyelet</t>
  </si>
  <si>
    <t>109                                                     Dunaharaszti Felnőtt Orvosi Rendelő (pályázat) BELÜLI</t>
  </si>
  <si>
    <t>Damjanich u. 32 orvosi rendelő pályázat BELÜLI</t>
  </si>
  <si>
    <t>126                                      A3 mederburkolás pályázaton                          BELÜLI</t>
  </si>
  <si>
    <t>127                                    A3 mederburkolás pályázaton                              KÍVÜLI</t>
  </si>
  <si>
    <t>126</t>
  </si>
  <si>
    <t>127</t>
  </si>
  <si>
    <t>A3 belvízelvezető csatorna mederburkolat kialakítása belüli rész áthuzódó</t>
  </si>
  <si>
    <t>Damjanich u. 32 orvosi rendelő pályázat FELÜLI</t>
  </si>
  <si>
    <t>Városi civil sport- és kulturális rendezvények kiadásainak valamint DMTK-n kívüli sportegyesületek kiadásainak finanszírozási kerete</t>
  </si>
  <si>
    <r>
      <t xml:space="preserve">037                           </t>
    </r>
    <r>
      <rPr>
        <sz val="12"/>
        <color indexed="17"/>
        <rFont val="Garamond"/>
        <family val="1"/>
      </rPr>
      <t xml:space="preserve"> </t>
    </r>
    <r>
      <rPr>
        <sz val="12"/>
        <color indexed="17"/>
        <rFont val="Garamond"/>
        <family val="1"/>
      </rPr>
      <t xml:space="preserve"> </t>
    </r>
    <r>
      <rPr>
        <sz val="12"/>
        <rFont val="Garamond"/>
        <family val="1"/>
      </rPr>
      <t xml:space="preserve">Társulások tagdíjai, Alsófalusi Nyugdíjasklub, </t>
    </r>
    <r>
      <rPr>
        <sz val="12"/>
        <color indexed="8"/>
        <rFont val="Garamond"/>
        <family val="1"/>
      </rPr>
      <t>Városi ösztöndíj</t>
    </r>
  </si>
  <si>
    <t>069                                   Szennyvíz bérleti díj felhasználás 2019. év (Szennyvíz)</t>
  </si>
  <si>
    <r>
      <t xml:space="preserve">073                            </t>
    </r>
    <r>
      <rPr>
        <sz val="12"/>
        <color indexed="8"/>
        <rFont val="Garamond"/>
        <family val="1"/>
      </rPr>
      <t xml:space="preserve"> </t>
    </r>
    <r>
      <rPr>
        <sz val="12"/>
        <rFont val="Garamond"/>
        <family val="1"/>
      </rPr>
      <t>Tüdőszűrés</t>
    </r>
    <r>
      <rPr>
        <sz val="12"/>
        <color indexed="8"/>
        <rFont val="Garamond"/>
        <family val="1"/>
      </rPr>
      <t xml:space="preserve">, </t>
    </r>
    <r>
      <rPr>
        <sz val="12"/>
        <rFont val="Garamond"/>
        <family val="1"/>
      </rPr>
      <t>Férfi és női lakosság szűrőgizsgá-latainak megszervezése</t>
    </r>
  </si>
  <si>
    <t>I. Civil szervezetek működési támogatása</t>
  </si>
  <si>
    <t>Gábor Áron körforgalom BELÜLI</t>
  </si>
  <si>
    <t>Gábor Áron körforgalom KÍVÜLI</t>
  </si>
  <si>
    <t>Temetőben utak aszfaltozása</t>
  </si>
  <si>
    <t>040                                                Terület előkészítés, földmérés és eljárási díjak</t>
  </si>
  <si>
    <t>101221                                     Fogyatékossággal élők nappali ellátása</t>
  </si>
  <si>
    <t>Szennyvíz bérleti díj felhasználás 2019. év (Szennyvíz)</t>
  </si>
  <si>
    <t xml:space="preserve"> Szennyvíz bérleti díj felhasználás 2019. év (Ivóvíz)</t>
  </si>
  <si>
    <t>Kiskertek vízelláttásának, szennyízelvezetésének tervezése</t>
  </si>
  <si>
    <t xml:space="preserve">084020                                    Nemzetiségi közfeladatok ellátása és támogatása </t>
  </si>
  <si>
    <t>KEHOP-5.2.9-16-2017-00185 energetikai pályázat önrésze</t>
  </si>
  <si>
    <t>Százszorszép Óvoda pályázat BELÜLI</t>
  </si>
  <si>
    <t>Százszorszép  Óvoda pályázat KVÜLI</t>
  </si>
  <si>
    <t>Játszóterek fejlesztése</t>
  </si>
  <si>
    <t xml:space="preserve">Némedi út páratlan oldali járda </t>
  </si>
  <si>
    <t>Damjanich utcai rendelő előtt kétoldali párhuzamos parkoló, várakozó sáv kiépítése</t>
  </si>
  <si>
    <t>Építési beruházásokhoz tartaléka</t>
  </si>
  <si>
    <t>Civil szervezetek, egyházak támogatása és helyi DMTK keretein kívül működő egyéb sportok támogatása (civil pályázat)</t>
  </si>
  <si>
    <t>Lakás vásárlás</t>
  </si>
  <si>
    <t>Sportcsarnokhoz napelem tervezés</t>
  </si>
  <si>
    <t>Zajtérkép és intézkedési terv (elnyert támogatás)</t>
  </si>
  <si>
    <t>A3 belvízelvezető csatorna mederburkolat kialakítása pályázaton kívüli rész</t>
  </si>
  <si>
    <t>Közterületfelügyelet részére informatikai eszköz vásárlás</t>
  </si>
  <si>
    <t>Dunaharaszti Ipartestület analóg adásról digitális adásra való átálláshoz szükséges egység beszerzésének támogatása</t>
  </si>
  <si>
    <t>Tervek, műszaki ellenőrzés, eljárási díjak, engedélyek</t>
  </si>
  <si>
    <t>VI. Általános tartalék</t>
  </si>
  <si>
    <t>Óvodák játszóeszköz  és zöldterület fejlesztése</t>
  </si>
  <si>
    <t>Üres álláshelyek 2019.01.01.</t>
  </si>
  <si>
    <t>2019. évi állami normatíva igénylés Magyarország 2019. évi központi költségvetéséről szóló 2018. évi XL. törvény alapján</t>
  </si>
  <si>
    <t>2019. évi állami normatíva mindösszesen szolidaritási hozzájárulás befizetése után</t>
  </si>
  <si>
    <t>Bölcsőde épülettel kapcsolatos beruházás</t>
  </si>
  <si>
    <t>035                                             Csapadékvíz-belvíz üzemeltetés; e-közműrendszer üzemeltetés; Mindszenty u.-Fő út kereszteződésének feltárása és rekonstrukciója</t>
  </si>
  <si>
    <r>
      <t xml:space="preserve">049          </t>
    </r>
    <r>
      <rPr>
        <sz val="12"/>
        <color indexed="53"/>
        <rFont val="Garamond"/>
        <family val="1"/>
      </rPr>
      <t xml:space="preserve">     </t>
    </r>
    <r>
      <rPr>
        <sz val="12"/>
        <color indexed="8"/>
        <rFont val="Garamond"/>
        <family val="1"/>
      </rPr>
      <t>Közterületi feladatok, közterületi kamerák</t>
    </r>
  </si>
  <si>
    <t>009                                                   Közúti káresemények térítése</t>
  </si>
  <si>
    <t>011 Továbbszámlázás bevétele és kiadása</t>
  </si>
  <si>
    <t>021                           P+R parkolók fenntartása</t>
  </si>
  <si>
    <t>022                                           Utcanévtáblák, gyepmester, városi közkutak</t>
  </si>
  <si>
    <t>023                              Intézményi zöldterület ad hoc feladatainak ellátása</t>
  </si>
  <si>
    <t>024                                        Városi településfejlesztési koncepció, településszerkezeti terv</t>
  </si>
  <si>
    <t>025                              "Várossá válás" szeptemberi ünnepsége</t>
  </si>
  <si>
    <t>028               Fásítási program</t>
  </si>
  <si>
    <t>032                Szelektív hulladékgyűjtés és zöldhulladék gyűjtés; Multi DH Kft. eladásával kapcsolatos elszámolások</t>
  </si>
  <si>
    <r>
      <t>060                                               Sportcsarnok működtetése</t>
    </r>
  </si>
  <si>
    <t>050                             Rendőrségi feladatok</t>
  </si>
  <si>
    <t>061                                             Mobil jégpálya üzemeltetése</t>
  </si>
  <si>
    <t>064                                       Városi munkavállalók munka-egészségügyi felülvizsgálata</t>
  </si>
  <si>
    <t>069                                 Szennyvíz bérleti díj felhasználás előző évekről (Szennyvíz)</t>
  </si>
  <si>
    <t>070                                   Szennyvíz bérleti díj felhasználás előző évekről (Ivóvíz)</t>
  </si>
  <si>
    <t>075                Átmeneti bentlakásos otthonban elhelyezés</t>
  </si>
  <si>
    <t>077                                     Fogyatékossággal élők nappali ellátása</t>
  </si>
  <si>
    <t>076                                            Mentési pont</t>
  </si>
  <si>
    <t>079                                     Köznevelési intézmények 1-4. évfolyamával kapcsolatos feladatok</t>
  </si>
  <si>
    <t>080                                     Köznevelési intézmények 5-8. évfolyamával kapcsolatos feladatok</t>
  </si>
  <si>
    <t>091250 Alapfokú Művészet-oktatással  összefüggő működtetési feladatok</t>
  </si>
  <si>
    <t>088                              Kisposta működtetésével kapcsolatos feladatok</t>
  </si>
  <si>
    <t>090 Közfoglalkoztatás</t>
  </si>
  <si>
    <t>091                                        Háziorvosok épületfelújítás miatti átköltözésével kapcsolatos kiadások</t>
  </si>
  <si>
    <t>093                 Bölcsődei feladatok</t>
  </si>
  <si>
    <t>094                 Művelődési házzal kapcsolatos feladatok</t>
  </si>
  <si>
    <t>095                                               Könyvtári feladatok</t>
  </si>
  <si>
    <t>096                                   Óvodai feladatok</t>
  </si>
  <si>
    <t>099                                         Szolidaritási hozzájárulás</t>
  </si>
  <si>
    <t xml:space="preserve">101                                         Százszorszép Óvoda pályázati BELÜLI                                                </t>
  </si>
  <si>
    <t xml:space="preserve">102                                        Százszorszép Óvoda pályázati KÍVÜLI                                       </t>
  </si>
  <si>
    <t>103                                                   Gábor Áron körforgalom                   BELÜLI</t>
  </si>
  <si>
    <t>104                                                   Gábor Áron körforgalom KÍVÜLI</t>
  </si>
  <si>
    <t xml:space="preserve">105                                                Épületenergetikai fejlesztés pályázat KEHOP-5.2.9                      </t>
  </si>
  <si>
    <t>110                                                     Dunaharaszti Felnőtt Orvosi Rendelő (pályázat)                               KÍVÜLI</t>
  </si>
  <si>
    <t>129                                          Temető utca felújítása (PM_ONKORMUT_2018) KÍVÜLI</t>
  </si>
  <si>
    <t>201                                          Méltányossági ápolási díj</t>
  </si>
  <si>
    <t>202                                                Települési támogatás, krízis helyzet, szemétdíj átvállalás, Időskorúak karácsonyi csomagja (5.000.000,- Ft)</t>
  </si>
  <si>
    <t xml:space="preserve">   203                                           Köztemetés</t>
  </si>
  <si>
    <t>204                                             Rendszeres települési támogatás gyógyszer- költségre</t>
  </si>
  <si>
    <t>205                                                 Gyermekétkeztetési támogatás</t>
  </si>
  <si>
    <t xml:space="preserve">  206                                                     Hátrányos helyzetű gyermekek üdültetése</t>
  </si>
  <si>
    <t xml:space="preserve">210                                   Téli rezsicsökkentésben korábban nem részesültek" Tűzifa támogatása </t>
  </si>
  <si>
    <r>
      <t xml:space="preserve">301                              </t>
    </r>
    <r>
      <rPr>
        <sz val="12"/>
        <color indexed="8"/>
        <rFont val="Garamond"/>
        <family val="1"/>
      </rPr>
      <t xml:space="preserve"> Lakossági járdaépítés, Sz</t>
    </r>
    <r>
      <rPr>
        <sz val="12"/>
        <color indexed="8"/>
        <rFont val="Garamond"/>
        <family val="1"/>
      </rPr>
      <t>igetszentmiklósi Tűzoltóság és Rendelő támogatása</t>
    </r>
  </si>
  <si>
    <t>302                                    Első lakáshoz jutók támogatása</t>
  </si>
  <si>
    <t>303                                    Egyházak eszközfejlesztésének támogatása</t>
  </si>
  <si>
    <t xml:space="preserve">    304                                                DMTK támogatása</t>
  </si>
  <si>
    <t xml:space="preserve"> 305                                      DMTK támogatása</t>
  </si>
  <si>
    <t xml:space="preserve">    306                                                                                   Civil szervezetek támogatása</t>
  </si>
  <si>
    <t xml:space="preserve">    306                                      Civil szervezetek támogatása</t>
  </si>
  <si>
    <t>307                                 Polgárőr Egyesület támogatása</t>
  </si>
  <si>
    <t>308                                                     Működési támogatás:                               Pest Megyei Katasztrófa-védelmi Igazgatóság,</t>
  </si>
  <si>
    <t>309                                           Helyi tömegközlekedés támogatása</t>
  </si>
  <si>
    <t xml:space="preserve">  310                                     Bursa Hungarica ösztöndíj</t>
  </si>
  <si>
    <t>311                                                Nemzetiségi Önkormányzatok támogatása</t>
  </si>
  <si>
    <t xml:space="preserve">      312     KisDuna TV-től műsoridő vásárlás, támogatása</t>
  </si>
  <si>
    <t>313                                 Haraszti Fraxinus Kft.</t>
  </si>
  <si>
    <t>400                                                     Hitel és kamattörlesztés és hitel felvétellel kapcsolatos egyéb költségek; Megelőlegezési hitel</t>
  </si>
  <si>
    <t xml:space="preserve">   500                           Építményadó</t>
  </si>
  <si>
    <t>500                                      Telekadó</t>
  </si>
  <si>
    <t xml:space="preserve">  500           Magánszemélyek kommunális adója</t>
  </si>
  <si>
    <t>500                                                      Idegenforgalmi adó tartózkodás alapján</t>
  </si>
  <si>
    <t>500              Iparűzési adó</t>
  </si>
  <si>
    <t>500      Gépjárműadó</t>
  </si>
  <si>
    <t xml:space="preserve"> 501                                        Állami támogatás</t>
  </si>
  <si>
    <t xml:space="preserve"> 016                          Bizonytalan bevételek</t>
  </si>
  <si>
    <t>015                            Egyéb adóbevételek</t>
  </si>
  <si>
    <t>014                        Egyéb bevételek</t>
  </si>
  <si>
    <t>012        Felh.c.kölcsön visszatérülése munkavállalótól</t>
  </si>
  <si>
    <t>013                                 Tárgyi eszköz értékesítés</t>
  </si>
  <si>
    <t>a)  ellátottak térítési díjának,  kártérítésének méltányossági alapon történő elengedésének összege</t>
  </si>
  <si>
    <t>sorszám</t>
  </si>
  <si>
    <t>Szervezet neve</t>
  </si>
  <si>
    <t>Eredeti Támogatásértékű működési kiadás</t>
  </si>
  <si>
    <t>Módosított Támogatásértékű működési kiadás</t>
  </si>
  <si>
    <t>Eredeti                   Működési célú pénzeszköz átadás államháztartáson kívülre</t>
  </si>
  <si>
    <t>Halasztott tételek</t>
  </si>
  <si>
    <t>Feladat típusa</t>
  </si>
  <si>
    <t>Szociális (Gondozási Központ)</t>
  </si>
  <si>
    <t>Szociális (Városi Bölcsőde)</t>
  </si>
  <si>
    <t>Közoktatás</t>
  </si>
  <si>
    <t>Összesen:</t>
  </si>
  <si>
    <t>b)  lakosság részére lakásépítéshez, lakásfelújításhoz nyújtott kölcsönök elengedésének összege nemleges</t>
  </si>
  <si>
    <t xml:space="preserve">c)  a helyi adónál, gépjárműadónál biztosított kedvezmény, mentesség összege adónemenként </t>
  </si>
  <si>
    <t>Építményadó</t>
  </si>
  <si>
    <t>Telekadó</t>
  </si>
  <si>
    <t>Kommunális adó</t>
  </si>
  <si>
    <t>Iparűzési adó</t>
  </si>
  <si>
    <t>Gépjárműadó</t>
  </si>
  <si>
    <t>Késedelmi pótlék</t>
  </si>
  <si>
    <t>Bírság</t>
  </si>
  <si>
    <t>d)  a helyiségek, eszközök hasznosításából származó bevételből nyújtott kedvezmény, mentesség összege</t>
  </si>
  <si>
    <t>Közterület rendjének fenntartása</t>
  </si>
  <si>
    <t>Önkormányzati tulajdonban álló helyiségek</t>
  </si>
  <si>
    <t>e) az egyéb nyújtott kedvezmény vagy kölcsön elengedésének összege nemleges</t>
  </si>
  <si>
    <t>Bevételek</t>
  </si>
  <si>
    <t xml:space="preserve">Működési bevételek </t>
  </si>
  <si>
    <t xml:space="preserve"> ebből: költségvetési működési bevételek</t>
  </si>
  <si>
    <t xml:space="preserve"> ebből: költségvetési működési kiadások</t>
  </si>
  <si>
    <t xml:space="preserve"> ebből: költségvetési felhalmozási bevételek</t>
  </si>
  <si>
    <t xml:space="preserve"> ebből: költségvetési felhalmozási kiadások</t>
  </si>
  <si>
    <t xml:space="preserve">   Ebből: államháztartáson belüli megelőlegezések visszafizetése</t>
  </si>
  <si>
    <t xml:space="preserve">   Ebből működési célú intézményfinanszírozás kiadása</t>
  </si>
  <si>
    <t xml:space="preserve">   Ebből felhalmozási célú intézményfinanszírozás kiadása</t>
  </si>
  <si>
    <t xml:space="preserve">    Ebből: Hitelfelvétel</t>
  </si>
  <si>
    <t>B1-B8</t>
  </si>
  <si>
    <t>Eredeti</t>
  </si>
  <si>
    <t>Költségvetési működési bevételek</t>
  </si>
  <si>
    <t>Költségvetési működési kiadások</t>
  </si>
  <si>
    <t>Költségvetési működési egyenleg</t>
  </si>
  <si>
    <t>Költségvetési felhalmozási bevételek</t>
  </si>
  <si>
    <t>Költségvetési felhalmozási kiadások</t>
  </si>
  <si>
    <t>Költségvetési felhalmozási egyenleg</t>
  </si>
  <si>
    <t>Költségvetési egyenleg (Költségvetési működési egyenleg + Költségvetési felhalmozási egyenleg)</t>
  </si>
  <si>
    <t>Finanszírozási egyenleg (Finanszírozási bevétel - Finanszírozási kiadás)</t>
  </si>
  <si>
    <t xml:space="preserve"> Rovat megnevezése</t>
  </si>
  <si>
    <t>Rovat sorszáma</t>
  </si>
  <si>
    <t>2019. év</t>
  </si>
  <si>
    <t>2020. év</t>
  </si>
  <si>
    <t>Egyéb felhalmozási célú kiadások</t>
  </si>
  <si>
    <t xml:space="preserve"> Ebből: költségvetési működési kiadások</t>
  </si>
  <si>
    <t xml:space="preserve"> Ebből: költségvetési felhalmozási kiadások</t>
  </si>
  <si>
    <t xml:space="preserve">  Ebből működési célú intézményfinanszírozás kiadása</t>
  </si>
  <si>
    <t xml:space="preserve">  Ebből felhalmozási célú intézményfinanszírozás kiadása</t>
  </si>
  <si>
    <t xml:space="preserve"> Ebből: hitelfelvétellel kapcsolatos kiadások</t>
  </si>
  <si>
    <t>Közhatalmi bevételek</t>
  </si>
  <si>
    <t>Felhalmozási célú átvett pénzeszközök</t>
  </si>
  <si>
    <t xml:space="preserve"> Ebből: költségvetési működési bevételek</t>
  </si>
  <si>
    <t xml:space="preserve"> Ebből: költségvetési felhalmozási bevételek</t>
  </si>
  <si>
    <t xml:space="preserve">  Ebből működési célú pénzmaradvány</t>
  </si>
  <si>
    <t xml:space="preserve">  Ebből felhalmozási célú pénzmaradvány</t>
  </si>
  <si>
    <t xml:space="preserve">  Ebből működési célú intézményfinanszírozás bevétele</t>
  </si>
  <si>
    <t xml:space="preserve">  Ebből felhalmozási célú intézményfinanszírozás bevétele</t>
  </si>
  <si>
    <t xml:space="preserve">  Ebből: Hitelfelvétel</t>
  </si>
  <si>
    <t xml:space="preserve">* A kiugró változás oka az előző évhez képest: </t>
  </si>
  <si>
    <t xml:space="preserve">** A következő évek várható kiadásai Dunaharaszti Város Önkormányzata Képviselő-testületének Gazdasági Programjával összhangban
</t>
  </si>
  <si>
    <t>2017.</t>
  </si>
  <si>
    <t>2018.</t>
  </si>
  <si>
    <t>2019.</t>
  </si>
  <si>
    <t>2020.</t>
  </si>
  <si>
    <t>Dunaharaszti Város Önkormányzata célhitelei, egyéb fejlesztési hitelei</t>
  </si>
  <si>
    <t>Célhitel (OTP)</t>
  </si>
  <si>
    <t>Mindösszesen 
(hitelek)</t>
  </si>
  <si>
    <t>Hitel felvétel folyamatban</t>
  </si>
  <si>
    <t>Hitel célja</t>
  </si>
  <si>
    <t>7.2 hitelcél: Közoktatási feladatellátás int….</t>
  </si>
  <si>
    <t>5.1 hitelcél: Helyi közútak építése, felújítása</t>
  </si>
  <si>
    <t>6.3 hitelcél: Csapadék - vízelvezetés</t>
  </si>
  <si>
    <t>Hitelszerződés kelte</t>
  </si>
  <si>
    <t>Kötelezettségvállalás száma</t>
  </si>
  <si>
    <t>Felvétel éve</t>
  </si>
  <si>
    <t>2013.07.03-2017.05.31.</t>
  </si>
  <si>
    <t>2014.12.10-2017.12.30</t>
  </si>
  <si>
    <t>Kamat mértéke</t>
  </si>
  <si>
    <t>3 havi BUBOR + MFB refinanszírozási kamatfelár + OTP kamatfelár 2,5 %</t>
  </si>
  <si>
    <t>Biztosíték, jelzálog, óvadék</t>
  </si>
  <si>
    <t>Évek</t>
  </si>
  <si>
    <t>Törlesztések</t>
  </si>
  <si>
    <t>2014.**</t>
  </si>
  <si>
    <t>2015.</t>
  </si>
  <si>
    <t>2016.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</si>
  <si>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</si>
  <si>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</si>
  <si>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</si>
  <si>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</si>
  <si>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</si>
  <si>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</si>
  <si>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</si>
  <si>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</si>
  <si>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</si>
  <si>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</si>
  <si>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</si>
  <si>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</si>
  <si>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</si>
  <si>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</si>
  <si>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</si>
  <si>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</si>
  <si>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</si>
  <si>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</si>
  <si>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</si>
  <si>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*RKO2; RKO1: 3 havi EURIBOR + az MFB refinanszírozási kamatfelár</t>
  </si>
  <si>
    <t>** konszolidált összeg</t>
  </si>
  <si>
    <t>Dunaharaszti Város Önkormányzat saját bevételeinek és a Stabilitási törvény 3. § (1) bekezdése szerinti adósságot keletkeztető ügyleteiből eredő fizetési kötelezettségeinek várható összege a futamidő végéig (Áht. 29/A. §) Ft-ban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</si>
  <si>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</si>
  <si>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</si>
  <si>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</si>
  <si>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</si>
  <si>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</si>
  <si>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</si>
  <si>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</si>
  <si>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</si>
  <si>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</si>
  <si>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</si>
  <si>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>2031. év</t>
  </si>
  <si>
    <t>2032. év</t>
  </si>
  <si>
    <t>2033. év</t>
  </si>
  <si>
    <t>2034. év</t>
  </si>
  <si>
    <t>2035. év</t>
  </si>
  <si>
    <t>2036. év</t>
  </si>
  <si>
    <t>2037. év</t>
  </si>
  <si>
    <t>2038. év</t>
  </si>
  <si>
    <t>Helyi adók</t>
  </si>
  <si>
    <t>Osztalékok, koncessziós díjak, hozambevételek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</si>
  <si>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</si>
  <si>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</si>
  <si>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</si>
  <si>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</si>
  <si>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</si>
  <si>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(01.+…+07.)</t>
  </si>
  <si>
    <t xml:space="preserve">Saját bevételek (08. sor) 50 %-a </t>
  </si>
  <si>
    <t>Előző év(ek)ben keletkezett tárgyévet terhelő fizetési kötelezettség (11+14+…+20)</t>
  </si>
  <si>
    <t>Hitelből eredő fizetési kötelezettség (12+13)</t>
  </si>
  <si>
    <t xml:space="preserve">   - ebből: Tőketörlesztés (12.a.+12.b.+12.c.)</t>
  </si>
  <si>
    <t>12.a.</t>
  </si>
  <si>
    <t xml:space="preserve">        1-2-13-8400-1237-9-01 hitelszerződés: 2014. évi útépítések</t>
  </si>
  <si>
    <t>12.b.</t>
  </si>
  <si>
    <t xml:space="preserve">        1-2-13-8400-1237-9-01/1 hitelszerződés: 2014. évi csapadékvíz elvezetések</t>
  </si>
  <si>
    <t>12.c.</t>
  </si>
  <si>
    <t xml:space="preserve">       ÖB 8400 2013 0098 hitelszerződés: Szivárvány Óvoda építése</t>
  </si>
  <si>
    <t xml:space="preserve">   - ebből: Kamatfizetés (13.a.+13.b.+13.c.)</t>
  </si>
  <si>
    <t>13.a.</t>
  </si>
  <si>
    <t>13.b.</t>
  </si>
  <si>
    <t>13.c.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</si>
  <si>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</si>
  <si>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</si>
  <si>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</si>
  <si>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</si>
  <si>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</si>
  <si>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</si>
  <si>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</si>
  <si>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Tárgyévben keletkezett illetve keletkező, tárgyévet terhelő fizetési kötelezettség (22+25+…+33)</t>
  </si>
  <si>
    <t>Hitelből eredő fizetési kötelezettség (23+24)</t>
  </si>
  <si>
    <t xml:space="preserve">   - ebből: Tőketörlesztés (23.a.+23.b.+23.c.)</t>
  </si>
  <si>
    <t>23.a.</t>
  </si>
  <si>
    <t>23.b.</t>
  </si>
  <si>
    <t>23.c.</t>
  </si>
  <si>
    <t xml:space="preserve">   - ebből: Kamatfizetés (24.a.+24.b.+24.c.)</t>
  </si>
  <si>
    <t>24.a.</t>
  </si>
  <si>
    <t>24.b.</t>
  </si>
  <si>
    <t>24.c.</t>
  </si>
  <si>
    <t>Fizetési kötelezettség összesen (10+21)</t>
  </si>
  <si>
    <t>Fizetési kötelezettséggel csökkentett saját bevétel (9-38)</t>
  </si>
  <si>
    <t>1. sor</t>
  </si>
  <si>
    <t>051 nem lakásc. Önk ing</t>
  </si>
  <si>
    <t>3. sor PMH B355 és B36</t>
  </si>
  <si>
    <t>TelekDÓ</t>
  </si>
  <si>
    <t>052 lakás</t>
  </si>
  <si>
    <t>119 egyéb adóbev Bírság pólék</t>
  </si>
  <si>
    <t>Kommadó</t>
  </si>
  <si>
    <t>053 Laffert</t>
  </si>
  <si>
    <t>Összesen2015</t>
  </si>
  <si>
    <t>Idegenforg.adó</t>
  </si>
  <si>
    <t>054 Sírhely</t>
  </si>
  <si>
    <t>069 szennyv bérleti díj</t>
  </si>
  <si>
    <t>Nettó</t>
  </si>
  <si>
    <t>köv években Br 142840 nettó 112472000</t>
  </si>
  <si>
    <t>előző évi hátralék</t>
  </si>
  <si>
    <t>előző évi hátralék Önk</t>
  </si>
  <si>
    <t>előző évi hátralék PMH</t>
  </si>
  <si>
    <t>3. sor</t>
  </si>
  <si>
    <t>080 Kőrösi</t>
  </si>
  <si>
    <t>Össesen</t>
  </si>
  <si>
    <t>Egyéb adóbev Pótlék, bírság (119)</t>
  </si>
  <si>
    <t>081 BEG</t>
  </si>
  <si>
    <t>Előző évi egyéb adóbev Pótlék, bírság</t>
  </si>
  <si>
    <t>PMH B3 bírság, elj.díj</t>
  </si>
  <si>
    <t>Mindösszesen</t>
  </si>
  <si>
    <t>Előző évi PMH B3  bírság elj.díj</t>
  </si>
  <si>
    <t>4. sor</t>
  </si>
  <si>
    <t>DPMV is benne van</t>
  </si>
  <si>
    <t>051 Ingatlan ért.</t>
  </si>
  <si>
    <t>051  előző évi hátralék</t>
  </si>
  <si>
    <t>051 Terembér</t>
  </si>
  <si>
    <t>052 Lakás</t>
  </si>
  <si>
    <t>052 előző évi hátralék</t>
  </si>
  <si>
    <t>069, 105 Bérleti díj</t>
  </si>
  <si>
    <t>Művház</t>
  </si>
  <si>
    <t>Művház hátralék</t>
  </si>
  <si>
    <t>110 Közter, reklámtábla</t>
  </si>
  <si>
    <t>110 előző évi hátralék</t>
  </si>
  <si>
    <t>119 Telekeladás hátralék</t>
  </si>
  <si>
    <t>120 Bizonytalan bev B4</t>
  </si>
  <si>
    <t>5. sor</t>
  </si>
  <si>
    <t>Részvény értékesítés (112)</t>
  </si>
  <si>
    <t xml:space="preserve">4. </t>
  </si>
  <si>
    <t>Rovat
száma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</si>
  <si>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</si>
  <si>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</si>
  <si>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</si>
  <si>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</si>
  <si>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</si>
  <si>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</si>
  <si>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</si>
  <si>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</si>
  <si>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</si>
  <si>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Nyitó pénzkészlet</t>
  </si>
  <si>
    <t xml:space="preserve">Finanszírozási bevételek </t>
  </si>
  <si>
    <t>Tárgy évi bevételek mindösszesen:</t>
  </si>
  <si>
    <t xml:space="preserve">Személyi juttatások </t>
  </si>
  <si>
    <t xml:space="preserve">Ellátottak pénzbeli juttatásai </t>
  </si>
  <si>
    <t xml:space="preserve">Felújítások </t>
  </si>
  <si>
    <t>Költségvetési kiadások</t>
  </si>
  <si>
    <t xml:space="preserve">Finanszírozási kiadások </t>
  </si>
  <si>
    <t>Tárgy évi kiadások mindösszesen:</t>
  </si>
  <si>
    <t>Egyenleg (11-22)</t>
  </si>
  <si>
    <t>Záró pénzkészlet (1+23)</t>
  </si>
  <si>
    <t xml:space="preserve">                                                   Felhasználási ütemterv                     Rovat megnevezése</t>
  </si>
  <si>
    <t>Dunaharaszti Város Önkormányzat 2019. évre tervezett működési, felhalmozási bevételeinek és kiadásainak mérlegszerű bemutatása (Ft-ban)</t>
  </si>
  <si>
    <t>2019. évi eredeti előirányzat</t>
  </si>
  <si>
    <t>DMTK sportpálya rezsi kiadások támogatása (ebből: előző évi maradvány 2.730.525 ,- Ft)</t>
  </si>
  <si>
    <t>DMTK szakosztályainak működési célú támogatása (ebből: előző évi maradvány  2.354.923,- Ft)</t>
  </si>
  <si>
    <t>DMTK szakosztályainak működési célú támogatása</t>
  </si>
  <si>
    <t>DMTK szakosztályainak működési célú támogatása átvállalt terembérlet Művelődési Ház és intézmények  (ebből: előző évi maradvány11.689.412,- Ft)</t>
  </si>
  <si>
    <t xml:space="preserve">Új tagbölcsőde kialakítása VEKOP-6.1.1.-15 pályázat </t>
  </si>
  <si>
    <t>083         Alapfokú Művészet-oktatási feladatok</t>
  </si>
  <si>
    <t>Művelődési Ház légtechnikai kiviteli terv</t>
  </si>
  <si>
    <t>094</t>
  </si>
  <si>
    <t>050</t>
  </si>
  <si>
    <t>Rendőrség épületének külső felújítási munkái</t>
  </si>
  <si>
    <t xml:space="preserve">Dózsa György u. 26. épületfelújítás </t>
  </si>
  <si>
    <t>Hétszínvirág Óvoda kerítés felújítása</t>
  </si>
  <si>
    <t>105/2018. (IX.25.) sz. Kt. Határozat: Sport-szigeti napközis tábor I. ütemének megvalósítása és áthúzódó feladatok</t>
  </si>
  <si>
    <t>Dózsa György u. 26. csapadékvíz elvezetési munkái</t>
  </si>
  <si>
    <t>079</t>
  </si>
  <si>
    <t>080</t>
  </si>
  <si>
    <t xml:space="preserve">Kaszala-Mindszethy u. víz és szennyvíz bekötés </t>
  </si>
  <si>
    <t>Magyar Államkincstárnál vezetett Bölcsődei pályázathoz kapcsolódó számla</t>
  </si>
  <si>
    <t>ASP program indításával kapcsolatos tartalék (bér, járulék, dologi)</t>
  </si>
  <si>
    <t>Jedlik Ányos utca felújítása</t>
  </si>
  <si>
    <t>Határ út - Kócsag utca sarok csapadékvíz elvezetése</t>
  </si>
  <si>
    <t>Jedlik Ányos utca közvilágítás fejlesztése</t>
  </si>
  <si>
    <t>Andrássy utca déli oldal járdaépítése</t>
  </si>
  <si>
    <t>Csokonai utca végén 3 db ingatlan közműbekötése</t>
  </si>
  <si>
    <t>314                                 DMTK-KVSE Aquasport Egyesület támogatása</t>
  </si>
  <si>
    <t>502          Bizonytalan bevételek (előző évekről hozott hátralék)</t>
  </si>
  <si>
    <t>Előző évekről hozott bevételi hátralékok forrása (kiadási oldala 120 részletezőkód)</t>
  </si>
  <si>
    <t>Részletezőkód száma és megnevezése</t>
  </si>
  <si>
    <t>Részletezőkód</t>
  </si>
  <si>
    <t>Dunaharaszti Város Önkormányzat 2018., 2019., 2020., 2021. és 2022. évre tervezett működési, felhalmozási kiadásainak és bevételeinek bemutatása (Ft-ban)</t>
  </si>
  <si>
    <t>2018. év                               eredeti előirányzat</t>
  </si>
  <si>
    <t>Változás 2019./2018.</t>
  </si>
  <si>
    <t>2019. év eredeti előirányzat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</si>
  <si>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</si>
  <si>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</si>
  <si>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</si>
  <si>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</si>
  <si>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</si>
  <si>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</si>
  <si>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</si>
  <si>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</si>
  <si>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</si>
  <si>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</si>
  <si>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</si>
  <si>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</si>
  <si>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</si>
  <si>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</si>
  <si>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Felhalmozási célú finanszírozási kiadások
(hiteltörlesztés, értékpapír vásárlás, stb.)</t>
  </si>
  <si>
    <t>7.2 hitelcél: Közoktatási feladatellátás int…</t>
  </si>
  <si>
    <t>2013</t>
  </si>
  <si>
    <t>5.1 hitelcél: Helyi közutak építése, felújítása</t>
  </si>
  <si>
    <t>2014</t>
  </si>
  <si>
    <t>6.3 hitelcél: Csapadék-vízelvezetés</t>
  </si>
  <si>
    <t>Beruházási kiadások beruházásonként</t>
  </si>
  <si>
    <t>Dunaharaszti Városi Bölcsőde új tagintézményének építése VEKOP-6.1.1-15-PT1-2016-00076</t>
  </si>
  <si>
    <t>2016</t>
  </si>
  <si>
    <t>Felújítási kiadások felújításonként</t>
  </si>
  <si>
    <t>Egyéb (Pl.: garancia és kezességvállalás, stb.)</t>
  </si>
  <si>
    <t>Összesen (1+2+3+4+5)</t>
  </si>
  <si>
    <t>2019. év előtti kifizetés</t>
  </si>
  <si>
    <t>Projekt kód</t>
  </si>
  <si>
    <t>Paradicsom sziget útépítése</t>
  </si>
  <si>
    <t>Hátrányos helyzetű gyerekek Helen Doron módszerű nyelvoktatása</t>
  </si>
  <si>
    <t>Dunaharaszti Város Önkormányzat 2019. évi likviditási terve (Ft-ban)</t>
  </si>
  <si>
    <t>A 2018. évi maradvány terhére képzett tartalék</t>
  </si>
  <si>
    <t>2017. évről technikai okok miatt 2018. évre áthúzódó</t>
  </si>
  <si>
    <t>2018. évről technikai okok miatt 2019. évre áthúzódó</t>
  </si>
  <si>
    <t xml:space="preserve">Várható záró állomány : 2019.12.31.        </t>
  </si>
  <si>
    <t>Nem teljesített törlesztések 
2018. december 31.</t>
  </si>
  <si>
    <t>Dunaharaszti Város Önkormányzat 2019. évi bevételi és kiadási előirányzatainak felhasználási ütemterve (Ft)</t>
  </si>
  <si>
    <t>működés</t>
  </si>
  <si>
    <t>felhalmozás</t>
  </si>
  <si>
    <t>kiadás</t>
  </si>
  <si>
    <t>bevétel</t>
  </si>
  <si>
    <t>finanszírozás</t>
  </si>
  <si>
    <t>3.056</t>
  </si>
  <si>
    <t>Német Nemzetiségi Önkormányzat ingatlan vásárlás támogatása</t>
  </si>
  <si>
    <t>Folyamatban lévő Európai Uniós pályázatok (Ft)</t>
  </si>
  <si>
    <t>EU-s projekt neve, azonosítója:</t>
  </si>
  <si>
    <t>Források</t>
  </si>
  <si>
    <t>2019.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</si>
  <si>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</si>
  <si>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</si>
  <si>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</si>
  <si>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</si>
  <si>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</si>
  <si>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</si>
  <si>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</si>
  <si>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</si>
  <si>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</si>
  <si>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</si>
  <si>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</si>
  <si>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Dunaharaszti Város Önkormányzat ASP Központhoz való csatlakozása KÖFOP-1.2.1-VEKOP-16-2017-01053</t>
  </si>
  <si>
    <t>Adminisztratív költségek</t>
  </si>
  <si>
    <t>Folyamatban lévő (nem EU-s) pályázatok  és támogatások  (Ft)</t>
  </si>
  <si>
    <t>Támogatás célja</t>
  </si>
  <si>
    <t>Támogató szervezet</t>
  </si>
  <si>
    <t>Elnyert támogatás</t>
  </si>
  <si>
    <t>Nemzetgazdasági Minisztérium</t>
  </si>
  <si>
    <t>Önkormányzati ipartelep fejlesztése 181/2016. (XII.22.) Korm.hat.</t>
  </si>
  <si>
    <t>2. sor A személyi juttatásokkal együtt nő, a különbözően adózó bérelemek arányának eltolódása miatt tér el az aránya a bér emelkedésének mértékétől.</t>
  </si>
  <si>
    <t>1. sor Tartalmazza a kötelező béremeléseket (garantált bérminimum, szociális ágazati béremelések), valamint a Sportcsarnok és az új tagbölcsőde teljes évre számított kiadásait is.</t>
  </si>
  <si>
    <t>3. sor A Sportcsarnok és az új tagbölcsőde teljes évre számított kiadásait is tartalmazza.</t>
  </si>
  <si>
    <t>5. sor A 2018. évi maradvány előző évinél magasabb összegű beemelése és a közhatalmi bevételek összegének emelése lehetőséget teremtett nagyobb összegű támogatások és tartalékok beemelésére a költségvetésbe.</t>
  </si>
  <si>
    <t xml:space="preserve">6. sor Az előző évről áthúzódó támogatási összegek és a 2018. évi maradvány előző évinél magasabb összegű beemelése és a közhatalmi bevételek összegének emelése lehetőséget adott több beruházás tervezésére.  </t>
  </si>
  <si>
    <t>7. sor  A 2018. évi maradvány előző évinél magasabb összegű beemelése és a közhatalmi bevételek összegének emelése lehetőséget teremtett az előző évinél magasabb összegű felújítások beemelésére a költségvetésbe.</t>
  </si>
  <si>
    <t>8. sor  A 2018. évi maradvány előző évinél magasabb összegű beemelése és a közhatalmi bevételek összegének emelése lehetőséget teremtett az előző évinél magasabb összegű felhalmozási célú támogatások beemelésére a költségvetésbe.</t>
  </si>
  <si>
    <t>15. sor A 2018. év folyamán elnyert támogatások és pályázatok áthúzódó összege.</t>
  </si>
  <si>
    <t>16. sor A tavalyi év folyamán tervezett adóbevételek túlteljesülése alapján emelésre kerültek a várható adóbevételek.</t>
  </si>
  <si>
    <t>17. sor A tavalyi év folyamán túlteljesült bevételek alapján emelésre kerültek a várható bevételek.</t>
  </si>
  <si>
    <t>18. sor DHRV Kft. végelszámolása 40.000.000 Ft értékben és ingatlanértékesítés 60.000.000 Ft-ért.</t>
  </si>
  <si>
    <t>19. sor Előző évben jelentős mértékű volt ezen a soron a Multi-Dh Kft. Értékesítéséből származó bevétel.</t>
  </si>
  <si>
    <t>20. sor Gábor Áron körforgalom 2019. évre jutó vállalkozói hozzájárulásai.</t>
  </si>
  <si>
    <t>10. sorhoz: 2019-ben a Közoktatási feladatellátás témájú hitelfelvétel törlesztőrészlete emelkedik.</t>
  </si>
  <si>
    <t>15. sor: Pályázati lehetőségek kihasználásával növekedhetnének az előirányzatok, részben ezek jelenthetnék a fejlesztések forrásait.</t>
  </si>
  <si>
    <t xml:space="preserve">16. sor: Mint a helyi adórendelet rendelkezéseiből is kitűnik, az Önkormányzat eddig és azután is a vállalkozások idevonzását és megtartását tartja szem előtt, a további fejlesztések forrását a jövőben a saját bevételek főként a helyi adóbevételek jelenthetik majd. </t>
  </si>
  <si>
    <t>22. sorhoz: A hitelfelvétel továbbra is Kormány engedélyhez kötött, ezért a következő években ezzel a bevételi lehetőséggel nem számolunk.</t>
  </si>
  <si>
    <t>103</t>
  </si>
  <si>
    <t xml:space="preserve">013350 </t>
  </si>
  <si>
    <t>101</t>
  </si>
  <si>
    <t>102</t>
  </si>
  <si>
    <t>309</t>
  </si>
  <si>
    <t>093</t>
  </si>
  <si>
    <t>110</t>
  </si>
  <si>
    <t xml:space="preserve">091220 </t>
  </si>
  <si>
    <t xml:space="preserve">091120 </t>
  </si>
  <si>
    <t xml:space="preserve">082091  </t>
  </si>
  <si>
    <t xml:space="preserve">   Ebből: Magyar Államkötvény vásárlás</t>
  </si>
  <si>
    <t xml:space="preserve">   Ebből: Magyar Államkötvény eladás</t>
  </si>
  <si>
    <t xml:space="preserve">    Ebből: Magyar Államkötvény vásárlás</t>
  </si>
  <si>
    <t xml:space="preserve">    Ebből: Magyar Államkötvény eladás</t>
  </si>
  <si>
    <t xml:space="preserve"> Ebből: Magyar Államkötvény vásárlás</t>
  </si>
  <si>
    <t xml:space="preserve">  Ebből: Magyar Államkötvény vásárlás</t>
  </si>
  <si>
    <t>22. sor 2018. évben évközi módosításként lépett be a Magyar Államkötvény vásárlás sora</t>
  </si>
  <si>
    <t>130                                 Új Bölcsőde pályázaton belüli</t>
  </si>
  <si>
    <t>Mese</t>
  </si>
  <si>
    <t>Hétszínvirág</t>
  </si>
  <si>
    <t>2019. évi terv összesen</t>
  </si>
  <si>
    <t>066020                                            Város-, község-gazdálkodási egyéb szolgáltatások</t>
  </si>
  <si>
    <t xml:space="preserve">036                                      Vagyongazd. Kiadások (Közbeszerzés kiadásai; DHRV Kft. Végelszámolásának bevétele) </t>
  </si>
  <si>
    <t>042                              Reklámtábla</t>
  </si>
  <si>
    <t xml:space="preserve">042                                                  Közterület használat </t>
  </si>
  <si>
    <t>045                            Szünidei  veszélyforrások</t>
  </si>
  <si>
    <t>057                          Dunaharaszti Hírek és információs kiadványok</t>
  </si>
  <si>
    <t>091140                       Óvodai nevelés, ellátás működtetési feladatai</t>
  </si>
  <si>
    <t>070                                   Szennyvíz bérleti díj felhasználás 2019. év                 (Ivóvíz)</t>
  </si>
  <si>
    <t>091220                                              Köznevelési intézmények 1-4. évfolyamán tanulók nevelésével, oktatásával összefüggő működtetési feladatok</t>
  </si>
  <si>
    <t>092120                                Köznevelési intézmények 5-8. évfolyamán tanulók nevelésével, oktatásával összefüggő működtetési feladatok</t>
  </si>
  <si>
    <t>092260                                        Gimnázium és szakközépiskola tanulóinak közismeret és szakmai elméleti oktatásával összefüggő működtetési feladatok</t>
  </si>
  <si>
    <t>081                                Gimnáziumi feladatok</t>
  </si>
  <si>
    <t>082                                     Pedagógiai szakszolgálati feladatok</t>
  </si>
  <si>
    <t>098022                                  Pedagógiai szakszolgáltató tevékenység működtetési feladatai</t>
  </si>
  <si>
    <t>53.</t>
  </si>
  <si>
    <t>55.</t>
  </si>
  <si>
    <t>70.</t>
  </si>
  <si>
    <t>73.</t>
  </si>
  <si>
    <t>74.</t>
  </si>
  <si>
    <t>77.</t>
  </si>
  <si>
    <t>78.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</si>
  <si>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</si>
  <si>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</si>
  <si>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</si>
  <si>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</si>
  <si>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</si>
  <si>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</si>
  <si>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</si>
  <si>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</si>
  <si>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</si>
  <si>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101.</t>
  </si>
  <si>
    <t>103.</t>
  </si>
  <si>
    <t>108.</t>
  </si>
  <si>
    <t>113.</t>
  </si>
  <si>
    <t>114.</t>
  </si>
  <si>
    <t>130.</t>
  </si>
  <si>
    <t>140.</t>
  </si>
  <si>
    <t>141.</t>
  </si>
  <si>
    <t>Ebből:                                    Európai Uniós feladatok eredeti előirányzat                                  (108; 130 részgazda)</t>
  </si>
  <si>
    <t>Európai Uniós feladatok eredeti előirányzat                           (108; 130 részgazda)</t>
  </si>
  <si>
    <t>2018. évig befolyt támogatási összeg</t>
  </si>
  <si>
    <t>PM_EUALAPELLATAS_2017/52 Orvosi rendelő</t>
  </si>
  <si>
    <t>PM_CSAPVIZGAZD_2017/39 A3 belvízelvezető mederburkolat kialakítása</t>
  </si>
  <si>
    <t>Pénzügyminisztérium</t>
  </si>
  <si>
    <t>PM_OVODAFEJLESZTES_2017/46 Százszorszép Óvoda fejlesztése</t>
  </si>
  <si>
    <t xml:space="preserve">PM_ONKORMUT_2018/79     Temető utca </t>
  </si>
  <si>
    <t>312</t>
  </si>
  <si>
    <t>304</t>
  </si>
  <si>
    <t>305</t>
  </si>
  <si>
    <t>314</t>
  </si>
  <si>
    <t>311</t>
  </si>
  <si>
    <t>129</t>
  </si>
  <si>
    <t>096</t>
  </si>
  <si>
    <t>070</t>
  </si>
  <si>
    <t>Köznevelési intézmények 1-4. évfolyamával kapcsolatos feladatok</t>
  </si>
  <si>
    <t>Köznevelési intézmények 5-8. évfolyamával kapcsolatos feladatok</t>
  </si>
  <si>
    <t>Részletező-  kód</t>
  </si>
  <si>
    <t>Részle-  tező- kód</t>
  </si>
  <si>
    <t>Részle- tező- kód</t>
  </si>
  <si>
    <t>2021. év után</t>
  </si>
  <si>
    <t>Dunaharaszti Önkormányzat közvetett támogatásainak részletezése 2019. évben az Ávr.  28 §-a szerint, amelyről rendelkezik az Áht. 24 § (4) bekezdés c) pontja</t>
  </si>
  <si>
    <t>2019. évi költségvetés egyenlege (Költségvetési egyenleg + Finanszírozási egyenleg)</t>
  </si>
  <si>
    <t>2019. évben várható támogatási összeg</t>
  </si>
  <si>
    <t>Agrárminisztérium</t>
  </si>
  <si>
    <t>Stratégiai zajtérképekre alapuló zajcsökkentési intézkedési tervek támogatása</t>
  </si>
  <si>
    <t>Móricz Zsigmond utca burkolat erősítési munkái</t>
  </si>
  <si>
    <t xml:space="preserve">Móra Ferenc utca burkolat erősítési munkái </t>
  </si>
  <si>
    <t>Magyar Úszószövetség részére nyújtott támogatás</t>
  </si>
  <si>
    <t>316                                 Hátrányos helyzetű gyermekek nyelvoktatása</t>
  </si>
  <si>
    <t>315                                 Magyar Úszószövetség támogatása</t>
  </si>
  <si>
    <t>144.</t>
  </si>
  <si>
    <t>315</t>
  </si>
  <si>
    <t xml:space="preserve">  </t>
  </si>
  <si>
    <t>005                    Időközi önkormányzati választás</t>
  </si>
  <si>
    <t>006                                                 Országgyűlési választás</t>
  </si>
  <si>
    <t>007                                                Városfelügyelet</t>
  </si>
  <si>
    <t>003                                    Gyermekek átmeneti otthona</t>
  </si>
  <si>
    <t>004                                    Hátrányos helyzetű gyermekek, fiatalok …</t>
  </si>
  <si>
    <t>005                                   Szünidei étkezés</t>
  </si>
  <si>
    <r>
      <rPr>
        <sz val="12"/>
        <color indexed="10"/>
        <rFont val="Garamond"/>
        <family val="1"/>
      </rPr>
      <t xml:space="preserve">003    </t>
    </r>
    <r>
      <rPr>
        <sz val="12"/>
        <rFont val="Garamond"/>
        <family val="1"/>
      </rPr>
      <t xml:space="preserve">                         Hétszínvirág Óvoda sajátos ….</t>
    </r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</si>
</sst>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_-* #,##0\ _F_t_-;\-* #,##0\ _F_t_-;_-* \-??\ _F_t_-;_-@_-"/>
    <numFmt numFmtId="168" formatCode="_-* #,##0\ _F_t_-;\-* #,##0\ _F_t_-;_-* &quot;-&quot;??\ _F_t_-;_-@_-"/>
    <numFmt numFmtId="169" formatCode="_-* #,##0.0\ _F_t_-;\-* #,##0.0\ _F_t_-;_-* &quot;-&quot;??\ _F_t_-;_-@_-"/>
    <numFmt numFmtId="170" formatCode="#,##0\ &quot;Ft&quot;"/>
    <numFmt numFmtId="171" formatCode="_-* #,##0\ &quot;Ft&quot;_-;\-* #,##0\ &quot;Ft&quot;_-;_-* &quot;-&quot;??\ &quot;Ft&quot;_-;_-@_-"/>
    <numFmt numFmtId="172" formatCode="_-* #,##0.0000\ _F_t_-;\-* #,##0.0000\ _F_t_-;_-* &quot;-&quot;??\ _F_t_-;_-@_-"/>
    <numFmt numFmtId="173" formatCode="_-* #,##0.0\ &quot;Ft&quot;_-;\-* #,##0.0\ &quot;Ft&quot;_-;_-* &quot;-&quot;??\ &quot;Ft&quot;_-;_-@_-"/>
    <numFmt numFmtId="174" formatCode="_-* #,##0.000\ &quot;Ft&quot;_-;\-* #,##0.000\ &quot;Ft&quot;_-;_-* &quot;-&quot;??\ &quot;Ft&quot;_-;_-@_-"/>
    <numFmt numFmtId="175" formatCode="_-* #,##0.0000\ &quot;Ft&quot;_-;\-* #,##0.0000\ &quot;Ft&quot;_-;_-* &quot;-&quot;??\ &quot;Ft&quot;_-;_-@_-"/>
    <numFmt numFmtId="176" formatCode="_-* #,##0.000\ _F_t_-;\-* #,##0.000\ _F_t_-;_-* &quot;-&quot;??\ _F_t_-;_-@_-"/>
    <numFmt numFmtId="177" formatCode="[$-40E]yyyy\.\ mmmm\ d\."/>
    <numFmt numFmtId="178" formatCode="yyyy/mm/dd;@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0_ ;\-#,##0.00\ "/>
    <numFmt numFmtId="190" formatCode="#,##0.0_ ;\-#,##0.0\ "/>
    <numFmt numFmtId="191" formatCode="#,##0\ _F_t"/>
    <numFmt numFmtId="192" formatCode="#,##0_ ;\-#,##0\ "/>
    <numFmt numFmtId="193" formatCode="_-* #,##0.0000\ _F_t_-;\-* #,##0.0000\ _F_t_-;_-* &quot;-&quot;????\ _F_t_-;_-@_-"/>
    <numFmt numFmtId="194" formatCode="#,###"/>
  </numFmts>
  <fonts count="10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b/>
      <i/>
      <sz val="12"/>
      <color indexed="8"/>
      <name val="Garamond"/>
      <family val="1"/>
    </font>
    <font>
      <i/>
      <sz val="12"/>
      <color indexed="8"/>
      <name val="Garamond"/>
      <family val="1"/>
    </font>
    <font>
      <b/>
      <i/>
      <sz val="12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8"/>
      <name val="Arial CE"/>
      <family val="0"/>
    </font>
    <font>
      <sz val="12"/>
      <color indexed="53"/>
      <name val="Garamond"/>
      <family val="1"/>
    </font>
    <font>
      <b/>
      <sz val="13"/>
      <name val="Garamond"/>
      <family val="1"/>
    </font>
    <font>
      <b/>
      <sz val="10"/>
      <name val="Arial CE"/>
      <family val="0"/>
    </font>
    <font>
      <sz val="12"/>
      <color indexed="17"/>
      <name val="Garamond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Arial CE"/>
      <family val="0"/>
    </font>
    <font>
      <sz val="12"/>
      <color indexed="10"/>
      <name val="Garamond"/>
      <family val="1"/>
    </font>
    <font>
      <sz val="10"/>
      <name val="Times New Roman CE"/>
      <family val="0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b/>
      <sz val="9"/>
      <name val="Garamond"/>
      <family val="1"/>
    </font>
    <font>
      <i/>
      <sz val="12"/>
      <name val="Garamond"/>
      <family val="1"/>
    </font>
    <font>
      <i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i/>
      <sz val="7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sz val="11"/>
      <color indexed="10"/>
      <name val="Garamond"/>
      <family val="1"/>
    </font>
    <font>
      <b/>
      <sz val="8"/>
      <color indexed="8"/>
      <name val="Garamond"/>
      <family val="1"/>
    </font>
    <font>
      <sz val="8"/>
      <color indexed="8"/>
      <name val="Garamond"/>
      <family val="1"/>
    </font>
    <font>
      <b/>
      <i/>
      <sz val="10"/>
      <name val="Times New Roman CE"/>
      <family val="1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4"/>
      <color indexed="10"/>
      <name val="Garamond"/>
      <family val="1"/>
    </font>
    <font>
      <sz val="11"/>
      <color indexed="10"/>
      <name val="Garamond"/>
      <family val="1"/>
    </font>
    <font>
      <b/>
      <sz val="14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Garamond"/>
      <family val="1"/>
    </font>
    <font>
      <b/>
      <sz val="14"/>
      <color rgb="FFFF0000"/>
      <name val="Garamond"/>
      <family val="1"/>
    </font>
    <font>
      <sz val="11"/>
      <color rgb="FFFF0000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4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>
        <color indexed="63"/>
      </top>
      <bottom style="thin"/>
    </border>
    <border>
      <left/>
      <right style="hair"/>
      <top>
        <color indexed="63"/>
      </top>
      <bottom/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hair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>
      <left style="medium"/>
      <right>
        <color indexed="63"/>
      </right>
      <top style="medium"/>
      <bottom style="medium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12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76" fillId="30" borderId="1" applyNumberForma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77" fillId="0" borderId="0" applyNumberForma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33" borderId="7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ill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83" fillId="0" borderId="11" applyNumberFormat="0" applyFill="0" applyAlignment="0" applyProtection="0"/>
    <xf numFmtId="0" fontId="13" fillId="9" borderId="2" applyNumberFormat="0" applyAlignment="0" applyProtection="0"/>
    <xf numFmtId="0" fontId="0" fillId="34" borderId="12" applyNumberFormat="0" applyFont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84" fillId="41" borderId="0" applyNumberFormat="0" applyBorder="0" applyAlignment="0" applyProtection="0"/>
    <xf numFmtId="0" fontId="85" fillId="42" borderId="13" applyNumberFormat="0" applyAlignment="0" applyProtection="0"/>
    <xf numFmtId="0" fontId="14" fillId="0" borderId="14" applyNumberFormat="0" applyFill="0" applyAlignment="0" applyProtection="0"/>
    <xf numFmtId="0" fontId="86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44" borderId="15" applyNumberFormat="0" applyFont="0" applyAlignment="0" applyProtection="0"/>
    <xf numFmtId="0" fontId="2" fillId="44" borderId="15" applyNumberFormat="0" applyFont="0" applyAlignment="0" applyProtection="0"/>
    <xf numFmtId="0" fontId="16" fillId="31" borderId="16" applyNumberFormat="0" applyAlignment="0" applyProtection="0"/>
    <xf numFmtId="0" fontId="8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8" fillId="45" borderId="0" applyNumberFormat="0" applyBorder="0" applyAlignment="0" applyProtection="0"/>
    <xf numFmtId="0" fontId="89" fillId="46" borderId="0" applyNumberFormat="0" applyBorder="0" applyAlignment="0" applyProtection="0"/>
    <xf numFmtId="0" fontId="90" fillId="42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1475">
    <xf numFmtId="0" fontId="0" fillId="0" borderId="0" xfId="0" applyAlignment="1">
      <alignment/>
    </xf>
    <xf numFmtId="165" fontId="21" fillId="47" borderId="19" xfId="0" applyNumberFormat="1" applyFont="1" applyFill="1" applyBorder="1" applyAlignment="1">
      <alignment vertical="center"/>
    </xf>
    <xf numFmtId="0" fontId="21" fillId="47" borderId="0" xfId="0" applyFont="1" applyFill="1" applyAlignment="1">
      <alignment/>
    </xf>
    <xf numFmtId="0" fontId="22" fillId="47" borderId="0" xfId="0" applyFont="1" applyFill="1" applyBorder="1" applyAlignment="1">
      <alignment/>
    </xf>
    <xf numFmtId="0" fontId="20" fillId="47" borderId="0" xfId="0" applyFont="1" applyFill="1" applyAlignment="1">
      <alignment/>
    </xf>
    <xf numFmtId="0" fontId="22" fillId="47" borderId="0" xfId="0" applyFont="1" applyFill="1" applyAlignment="1">
      <alignment/>
    </xf>
    <xf numFmtId="0" fontId="22" fillId="47" borderId="20" xfId="0" applyFont="1" applyFill="1" applyBorder="1" applyAlignment="1">
      <alignment/>
    </xf>
    <xf numFmtId="164" fontId="20" fillId="47" borderId="0" xfId="0" applyNumberFormat="1" applyFont="1" applyFill="1" applyAlignment="1">
      <alignment/>
    </xf>
    <xf numFmtId="168" fontId="20" fillId="47" borderId="19" xfId="80" applyNumberFormat="1" applyFont="1" applyFill="1" applyBorder="1" applyAlignment="1">
      <alignment/>
    </xf>
    <xf numFmtId="168" fontId="21" fillId="47" borderId="19" xfId="80" applyNumberFormat="1" applyFont="1" applyFill="1" applyBorder="1" applyAlignment="1">
      <alignment/>
    </xf>
    <xf numFmtId="164" fontId="21" fillId="47" borderId="19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/>
    </xf>
    <xf numFmtId="0" fontId="24" fillId="0" borderId="2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8" fontId="24" fillId="0" borderId="21" xfId="80" applyNumberFormat="1" applyFont="1" applyBorder="1" applyAlignment="1">
      <alignment/>
    </xf>
    <xf numFmtId="168" fontId="25" fillId="0" borderId="25" xfId="80" applyNumberFormat="1" applyFont="1" applyBorder="1" applyAlignment="1">
      <alignment/>
    </xf>
    <xf numFmtId="0" fontId="24" fillId="0" borderId="2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168" fontId="20" fillId="47" borderId="0" xfId="0" applyNumberFormat="1" applyFont="1" applyFill="1" applyAlignment="1">
      <alignment/>
    </xf>
    <xf numFmtId="168" fontId="24" fillId="0" borderId="0" xfId="0" applyNumberFormat="1" applyFont="1" applyAlignment="1">
      <alignment/>
    </xf>
    <xf numFmtId="165" fontId="29" fillId="47" borderId="19" xfId="0" applyNumberFormat="1" applyFont="1" applyFill="1" applyBorder="1" applyAlignment="1">
      <alignment vertical="center"/>
    </xf>
    <xf numFmtId="0" fontId="29" fillId="47" borderId="0" xfId="0" applyFont="1" applyFill="1" applyAlignment="1">
      <alignment/>
    </xf>
    <xf numFmtId="0" fontId="30" fillId="47" borderId="0" xfId="0" applyFont="1" applyFill="1" applyAlignment="1">
      <alignment/>
    </xf>
    <xf numFmtId="0" fontId="24" fillId="0" borderId="0" xfId="0" applyFont="1" applyAlignment="1">
      <alignment wrapText="1"/>
    </xf>
    <xf numFmtId="168" fontId="20" fillId="47" borderId="0" xfId="80" applyNumberFormat="1" applyFont="1" applyFill="1" applyBorder="1" applyAlignment="1">
      <alignment/>
    </xf>
    <xf numFmtId="0" fontId="24" fillId="47" borderId="0" xfId="0" applyFont="1" applyFill="1" applyAlignment="1">
      <alignment/>
    </xf>
    <xf numFmtId="0" fontId="24" fillId="47" borderId="2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8" fontId="25" fillId="0" borderId="19" xfId="80" applyNumberFormat="1" applyFont="1" applyBorder="1" applyAlignment="1">
      <alignment vertical="center"/>
    </xf>
    <xf numFmtId="49" fontId="24" fillId="0" borderId="29" xfId="0" applyNumberFormat="1" applyFont="1" applyBorder="1" applyAlignment="1">
      <alignment horizontal="center" vertical="center"/>
    </xf>
    <xf numFmtId="0" fontId="22" fillId="47" borderId="19" xfId="0" applyFont="1" applyFill="1" applyBorder="1" applyAlignment="1">
      <alignment horizontal="center" vertical="center" wrapText="1"/>
    </xf>
    <xf numFmtId="0" fontId="2" fillId="47" borderId="0" xfId="123" applyFill="1">
      <alignment/>
      <protection/>
    </xf>
    <xf numFmtId="168" fontId="0" fillId="47" borderId="0" xfId="89" applyNumberFormat="1" applyFont="1" applyFill="1" applyAlignment="1">
      <alignment/>
    </xf>
    <xf numFmtId="168" fontId="35" fillId="47" borderId="19" xfId="89" applyNumberFormat="1" applyFont="1" applyFill="1" applyBorder="1" applyAlignment="1">
      <alignment horizontal="center" vertical="center" wrapText="1"/>
    </xf>
    <xf numFmtId="0" fontId="2" fillId="47" borderId="0" xfId="123" applyFont="1" applyFill="1">
      <alignment/>
      <protection/>
    </xf>
    <xf numFmtId="0" fontId="23" fillId="47" borderId="19" xfId="123" applyFont="1" applyFill="1" applyBorder="1" applyAlignment="1">
      <alignment horizontal="center" vertical="center"/>
      <protection/>
    </xf>
    <xf numFmtId="0" fontId="21" fillId="47" borderId="19" xfId="123" applyFont="1" applyFill="1" applyBorder="1" applyAlignment="1">
      <alignment vertical="center" wrapText="1"/>
      <protection/>
    </xf>
    <xf numFmtId="1" fontId="20" fillId="47" borderId="19" xfId="123" applyNumberFormat="1" applyFont="1" applyFill="1" applyBorder="1" applyAlignment="1">
      <alignment horizontal="center" vertical="center"/>
      <protection/>
    </xf>
    <xf numFmtId="0" fontId="20" fillId="47" borderId="19" xfId="123" applyFont="1" applyFill="1" applyBorder="1" applyAlignment="1">
      <alignment horizontal="center" vertical="center"/>
      <protection/>
    </xf>
    <xf numFmtId="164" fontId="21" fillId="47" borderId="19" xfId="123" applyNumberFormat="1" applyFont="1" applyFill="1" applyBorder="1" applyAlignment="1" quotePrefix="1">
      <alignment horizontal="center" vertical="center"/>
      <protection/>
    </xf>
    <xf numFmtId="165" fontId="21" fillId="47" borderId="19" xfId="123" applyNumberFormat="1" applyFont="1" applyFill="1" applyBorder="1" applyAlignment="1">
      <alignment vertical="center"/>
      <protection/>
    </xf>
    <xf numFmtId="0" fontId="21" fillId="47" borderId="19" xfId="123" applyFont="1" applyFill="1" applyBorder="1" applyAlignment="1">
      <alignment horizontal="left" vertical="center" wrapText="1"/>
      <protection/>
    </xf>
    <xf numFmtId="0" fontId="23" fillId="47" borderId="19" xfId="123" applyFont="1" applyFill="1" applyBorder="1" applyAlignment="1">
      <alignment horizontal="left" vertical="center" wrapText="1"/>
      <protection/>
    </xf>
    <xf numFmtId="0" fontId="31" fillId="47" borderId="19" xfId="123" applyFont="1" applyFill="1" applyBorder="1" applyAlignment="1">
      <alignment horizontal="left" vertical="center" wrapText="1"/>
      <protection/>
    </xf>
    <xf numFmtId="165" fontId="29" fillId="47" borderId="19" xfId="123" applyNumberFormat="1" applyFont="1" applyFill="1" applyBorder="1" applyAlignment="1">
      <alignment vertical="center"/>
      <protection/>
    </xf>
    <xf numFmtId="0" fontId="21" fillId="47" borderId="19" xfId="123" applyFont="1" applyFill="1" applyBorder="1" applyAlignment="1">
      <alignment horizontal="left" vertical="center"/>
      <protection/>
    </xf>
    <xf numFmtId="0" fontId="29" fillId="47" borderId="19" xfId="123" applyFont="1" applyFill="1" applyBorder="1" applyAlignment="1">
      <alignment horizontal="left" vertical="center"/>
      <protection/>
    </xf>
    <xf numFmtId="0" fontId="21" fillId="47" borderId="19" xfId="123" applyFont="1" applyFill="1" applyBorder="1" applyAlignment="1">
      <alignment horizontal="right" vertical="center"/>
      <protection/>
    </xf>
    <xf numFmtId="0" fontId="34" fillId="47" borderId="0" xfId="123" applyFont="1" applyFill="1">
      <alignment/>
      <protection/>
    </xf>
    <xf numFmtId="168" fontId="20" fillId="47" borderId="0" xfId="0" applyNumberFormat="1" applyFont="1" applyFill="1" applyBorder="1" applyAlignment="1">
      <alignment/>
    </xf>
    <xf numFmtId="0" fontId="34" fillId="47" borderId="0" xfId="123" applyFont="1" applyFill="1">
      <alignment/>
      <protection/>
    </xf>
    <xf numFmtId="0" fontId="24" fillId="0" borderId="2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0" fillId="47" borderId="0" xfId="0" applyFont="1" applyFill="1" applyAlignment="1">
      <alignment horizontal="right"/>
    </xf>
    <xf numFmtId="0" fontId="24" fillId="47" borderId="31" xfId="0" applyFont="1" applyFill="1" applyBorder="1" applyAlignment="1">
      <alignment horizontal="center" vertical="center" textRotation="90"/>
    </xf>
    <xf numFmtId="0" fontId="24" fillId="47" borderId="32" xfId="0" applyFont="1" applyFill="1" applyBorder="1" applyAlignment="1">
      <alignment horizontal="center" vertical="center" textRotation="90"/>
    </xf>
    <xf numFmtId="0" fontId="24" fillId="47" borderId="32" xfId="0" applyFont="1" applyFill="1" applyBorder="1" applyAlignment="1">
      <alignment horizontal="center" vertical="center"/>
    </xf>
    <xf numFmtId="0" fontId="24" fillId="47" borderId="32" xfId="0" applyFont="1" applyFill="1" applyBorder="1" applyAlignment="1">
      <alignment horizontal="center" vertical="center" wrapText="1"/>
    </xf>
    <xf numFmtId="0" fontId="24" fillId="47" borderId="33" xfId="0" applyFont="1" applyFill="1" applyBorder="1" applyAlignment="1">
      <alignment horizontal="center" vertical="center" wrapText="1"/>
    </xf>
    <xf numFmtId="0" fontId="24" fillId="47" borderId="0" xfId="0" applyFont="1" applyFill="1" applyAlignment="1">
      <alignment horizontal="center"/>
    </xf>
    <xf numFmtId="0" fontId="25" fillId="47" borderId="0" xfId="0" applyFont="1" applyFill="1" applyAlignment="1">
      <alignment/>
    </xf>
    <xf numFmtId="168" fontId="24" fillId="47" borderId="0" xfId="80" applyNumberFormat="1" applyFont="1" applyFill="1" applyAlignment="1">
      <alignment/>
    </xf>
    <xf numFmtId="0" fontId="24" fillId="47" borderId="0" xfId="0" applyFont="1" applyFill="1" applyAlignment="1">
      <alignment horizontal="right"/>
    </xf>
    <xf numFmtId="0" fontId="24" fillId="47" borderId="34" xfId="0" applyFont="1" applyFill="1" applyBorder="1" applyAlignment="1">
      <alignment horizontal="center" vertical="center" textRotation="90"/>
    </xf>
    <xf numFmtId="0" fontId="24" fillId="47" borderId="30" xfId="0" applyFont="1" applyFill="1" applyBorder="1" applyAlignment="1">
      <alignment horizontal="center" vertical="center" textRotation="90"/>
    </xf>
    <xf numFmtId="0" fontId="24" fillId="47" borderId="30" xfId="0" applyFont="1" applyFill="1" applyBorder="1" applyAlignment="1">
      <alignment horizontal="center" vertical="center"/>
    </xf>
    <xf numFmtId="0" fontId="24" fillId="47" borderId="30" xfId="0" applyFont="1" applyFill="1" applyBorder="1" applyAlignment="1">
      <alignment horizontal="center" vertical="center" wrapText="1"/>
    </xf>
    <xf numFmtId="0" fontId="24" fillId="47" borderId="35" xfId="0" applyFont="1" applyFill="1" applyBorder="1" applyAlignment="1">
      <alignment horizontal="center" vertical="center" wrapText="1"/>
    </xf>
    <xf numFmtId="168" fontId="24" fillId="47" borderId="25" xfId="80" applyNumberFormat="1" applyFont="1" applyFill="1" applyBorder="1" applyAlignment="1">
      <alignment horizontal="center" vertical="center" wrapText="1"/>
    </xf>
    <xf numFmtId="168" fontId="24" fillId="47" borderId="26" xfId="80" applyNumberFormat="1" applyFont="1" applyFill="1" applyBorder="1" applyAlignment="1">
      <alignment horizontal="center" vertical="center" wrapText="1"/>
    </xf>
    <xf numFmtId="0" fontId="25" fillId="47" borderId="23" xfId="0" applyFont="1" applyFill="1" applyBorder="1" applyAlignment="1">
      <alignment horizontal="center" vertical="center"/>
    </xf>
    <xf numFmtId="168" fontId="25" fillId="47" borderId="23" xfId="80" applyNumberFormat="1" applyFont="1" applyFill="1" applyBorder="1" applyAlignment="1">
      <alignment horizontal="center" vertical="center" wrapText="1"/>
    </xf>
    <xf numFmtId="168" fontId="25" fillId="47" borderId="36" xfId="80" applyNumberFormat="1" applyFont="1" applyFill="1" applyBorder="1" applyAlignment="1">
      <alignment horizontal="center" vertical="center" wrapText="1"/>
    </xf>
    <xf numFmtId="168" fontId="25" fillId="47" borderId="0" xfId="80" applyNumberFormat="1" applyFont="1" applyFill="1" applyAlignment="1">
      <alignment/>
    </xf>
    <xf numFmtId="0" fontId="24" fillId="47" borderId="21" xfId="0" applyFont="1" applyFill="1" applyBorder="1" applyAlignment="1">
      <alignment horizontal="center" vertical="center"/>
    </xf>
    <xf numFmtId="0" fontId="24" fillId="47" borderId="37" xfId="0" applyFont="1" applyFill="1" applyBorder="1" applyAlignment="1">
      <alignment horizontal="center" vertical="center"/>
    </xf>
    <xf numFmtId="0" fontId="24" fillId="47" borderId="29" xfId="0" applyFont="1" applyFill="1" applyBorder="1" applyAlignment="1">
      <alignment horizontal="center" vertical="center"/>
    </xf>
    <xf numFmtId="168" fontId="27" fillId="47" borderId="0" xfId="80" applyNumberFormat="1" applyFont="1" applyFill="1" applyAlignment="1">
      <alignment/>
    </xf>
    <xf numFmtId="0" fontId="27" fillId="47" borderId="0" xfId="0" applyFont="1" applyFill="1" applyAlignment="1">
      <alignment/>
    </xf>
    <xf numFmtId="0" fontId="24" fillId="47" borderId="21" xfId="0" applyFont="1" applyFill="1" applyBorder="1" applyAlignment="1">
      <alignment horizontal="left" vertical="center" wrapText="1"/>
    </xf>
    <xf numFmtId="0" fontId="21" fillId="47" borderId="19" xfId="0" applyFont="1" applyFill="1" applyBorder="1" applyAlignment="1">
      <alignment horizontal="right" vertical="center"/>
    </xf>
    <xf numFmtId="168" fontId="24" fillId="47" borderId="0" xfId="0" applyNumberFormat="1" applyFont="1" applyFill="1" applyAlignment="1">
      <alignment/>
    </xf>
    <xf numFmtId="0" fontId="24" fillId="47" borderId="38" xfId="0" applyFont="1" applyFill="1" applyBorder="1" applyAlignment="1">
      <alignment/>
    </xf>
    <xf numFmtId="168" fontId="24" fillId="47" borderId="38" xfId="80" applyNumberFormat="1" applyFont="1" applyFill="1" applyBorder="1" applyAlignment="1">
      <alignment/>
    </xf>
    <xf numFmtId="0" fontId="24" fillId="47" borderId="38" xfId="0" applyFont="1" applyFill="1" applyBorder="1" applyAlignment="1">
      <alignment horizontal="center"/>
    </xf>
    <xf numFmtId="0" fontId="24" fillId="47" borderId="39" xfId="0" applyFont="1" applyFill="1" applyBorder="1" applyAlignment="1">
      <alignment horizontal="center"/>
    </xf>
    <xf numFmtId="0" fontId="24" fillId="47" borderId="0" xfId="0" applyFont="1" applyFill="1" applyBorder="1" applyAlignment="1">
      <alignment/>
    </xf>
    <xf numFmtId="168" fontId="24" fillId="47" borderId="0" xfId="80" applyNumberFormat="1" applyFont="1" applyFill="1" applyBorder="1" applyAlignment="1">
      <alignment/>
    </xf>
    <xf numFmtId="0" fontId="24" fillId="47" borderId="0" xfId="0" applyFont="1" applyFill="1" applyBorder="1" applyAlignment="1">
      <alignment horizontal="center"/>
    </xf>
    <xf numFmtId="0" fontId="24" fillId="47" borderId="40" xfId="0" applyFont="1" applyFill="1" applyBorder="1" applyAlignment="1">
      <alignment horizontal="center"/>
    </xf>
    <xf numFmtId="0" fontId="24" fillId="47" borderId="30" xfId="0" applyFont="1" applyFill="1" applyBorder="1" applyAlignment="1">
      <alignment horizontal="left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/>
    </xf>
    <xf numFmtId="168" fontId="24" fillId="0" borderId="35" xfId="8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0" fillId="47" borderId="0" xfId="0" applyFont="1" applyFill="1" applyBorder="1" applyAlignment="1">
      <alignment/>
    </xf>
    <xf numFmtId="0" fontId="24" fillId="47" borderId="25" xfId="0" applyFont="1" applyFill="1" applyBorder="1" applyAlignment="1">
      <alignment horizontal="left" vertical="center" wrapText="1"/>
    </xf>
    <xf numFmtId="0" fontId="24" fillId="47" borderId="41" xfId="0" applyFont="1" applyFill="1" applyBorder="1" applyAlignment="1">
      <alignment horizontal="center"/>
    </xf>
    <xf numFmtId="0" fontId="24" fillId="47" borderId="0" xfId="0" applyFont="1" applyFill="1" applyBorder="1" applyAlignment="1">
      <alignment horizontal="left" vertical="center" wrapText="1"/>
    </xf>
    <xf numFmtId="0" fontId="24" fillId="47" borderId="0" xfId="0" applyFont="1" applyFill="1" applyBorder="1" applyAlignment="1">
      <alignment horizontal="center" vertical="center" wrapText="1"/>
    </xf>
    <xf numFmtId="164" fontId="21" fillId="47" borderId="42" xfId="123" applyNumberFormat="1" applyFont="1" applyFill="1" applyBorder="1" applyAlignment="1" quotePrefix="1">
      <alignment horizontal="center" vertical="center"/>
      <protection/>
    </xf>
    <xf numFmtId="0" fontId="24" fillId="0" borderId="25" xfId="0" applyFont="1" applyBorder="1" applyAlignment="1">
      <alignment horizontal="left" vertical="center" wrapText="1"/>
    </xf>
    <xf numFmtId="0" fontId="24" fillId="47" borderId="43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168" fontId="23" fillId="0" borderId="36" xfId="80" applyNumberFormat="1" applyFont="1" applyFill="1" applyBorder="1" applyAlignment="1">
      <alignment/>
    </xf>
    <xf numFmtId="0" fontId="24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47" borderId="24" xfId="0" applyFont="1" applyFill="1" applyBorder="1" applyAlignment="1">
      <alignment horizontal="center" vertical="center"/>
    </xf>
    <xf numFmtId="0" fontId="24" fillId="47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168" fontId="25" fillId="47" borderId="23" xfId="80" applyNumberFormat="1" applyFont="1" applyFill="1" applyBorder="1" applyAlignment="1">
      <alignment vertical="center"/>
    </xf>
    <xf numFmtId="168" fontId="25" fillId="47" borderId="36" xfId="80" applyNumberFormat="1" applyFont="1" applyFill="1" applyBorder="1" applyAlignment="1">
      <alignment vertical="center"/>
    </xf>
    <xf numFmtId="168" fontId="24" fillId="47" borderId="21" xfId="8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vertical="center" wrapText="1"/>
    </xf>
    <xf numFmtId="168" fontId="25" fillId="47" borderId="44" xfId="80" applyNumberFormat="1" applyFont="1" applyFill="1" applyBorder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168" fontId="24" fillId="0" borderId="47" xfId="80" applyNumberFormat="1" applyFont="1" applyFill="1" applyBorder="1" applyAlignment="1">
      <alignment horizontal="center" vertical="center"/>
    </xf>
    <xf numFmtId="168" fontId="24" fillId="0" borderId="48" xfId="80" applyNumberFormat="1" applyFont="1" applyFill="1" applyBorder="1" applyAlignment="1">
      <alignment horizontal="center" vertical="center"/>
    </xf>
    <xf numFmtId="168" fontId="24" fillId="0" borderId="49" xfId="80" applyNumberFormat="1" applyFont="1" applyFill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47" borderId="34" xfId="0" applyFont="1" applyFill="1" applyBorder="1" applyAlignment="1">
      <alignment horizontal="center" vertical="center"/>
    </xf>
    <xf numFmtId="168" fontId="24" fillId="0" borderId="49" xfId="80" applyNumberFormat="1" applyFont="1" applyFill="1" applyBorder="1" applyAlignment="1">
      <alignment horizontal="center" vertical="center" wrapText="1"/>
    </xf>
    <xf numFmtId="0" fontId="24" fillId="47" borderId="49" xfId="0" applyFont="1" applyFill="1" applyBorder="1" applyAlignment="1">
      <alignment horizontal="center" vertical="center"/>
    </xf>
    <xf numFmtId="0" fontId="24" fillId="47" borderId="26" xfId="0" applyFont="1" applyFill="1" applyBorder="1" applyAlignment="1">
      <alignment horizontal="center" vertical="center"/>
    </xf>
    <xf numFmtId="168" fontId="24" fillId="47" borderId="25" xfId="80" applyNumberFormat="1" applyFont="1" applyFill="1" applyBorder="1" applyAlignment="1">
      <alignment horizontal="center" vertical="center"/>
    </xf>
    <xf numFmtId="0" fontId="24" fillId="47" borderId="50" xfId="0" applyFont="1" applyFill="1" applyBorder="1" applyAlignment="1">
      <alignment horizontal="center" vertical="center"/>
    </xf>
    <xf numFmtId="0" fontId="24" fillId="47" borderId="20" xfId="0" applyFont="1" applyFill="1" applyBorder="1" applyAlignment="1">
      <alignment horizontal="center" vertical="center"/>
    </xf>
    <xf numFmtId="0" fontId="24" fillId="47" borderId="51" xfId="0" applyFont="1" applyFill="1" applyBorder="1" applyAlignment="1">
      <alignment horizontal="center" vertical="center"/>
    </xf>
    <xf numFmtId="0" fontId="25" fillId="47" borderId="20" xfId="0" applyFont="1" applyFill="1" applyBorder="1" applyAlignment="1">
      <alignment horizontal="center" vertical="center" wrapText="1"/>
    </xf>
    <xf numFmtId="168" fontId="24" fillId="47" borderId="30" xfId="80" applyNumberFormat="1" applyFont="1" applyFill="1" applyBorder="1" applyAlignment="1">
      <alignment horizontal="center" vertical="center"/>
    </xf>
    <xf numFmtId="0" fontId="24" fillId="47" borderId="39" xfId="0" applyFont="1" applyFill="1" applyBorder="1" applyAlignment="1">
      <alignment/>
    </xf>
    <xf numFmtId="0" fontId="24" fillId="0" borderId="21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168" fontId="24" fillId="0" borderId="30" xfId="80" applyNumberFormat="1" applyFont="1" applyBorder="1" applyAlignment="1">
      <alignment vertical="center"/>
    </xf>
    <xf numFmtId="168" fontId="24" fillId="0" borderId="21" xfId="80" applyNumberFormat="1" applyFont="1" applyBorder="1" applyAlignment="1">
      <alignment vertical="center"/>
    </xf>
    <xf numFmtId="168" fontId="24" fillId="0" borderId="25" xfId="80" applyNumberFormat="1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168" fontId="23" fillId="0" borderId="19" xfId="8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168" fontId="24" fillId="47" borderId="44" xfId="80" applyNumberFormat="1" applyFont="1" applyFill="1" applyBorder="1" applyAlignment="1">
      <alignment vertical="center"/>
    </xf>
    <xf numFmtId="0" fontId="24" fillId="0" borderId="21" xfId="0" applyFont="1" applyBorder="1" applyAlignment="1">
      <alignment vertical="center" wrapText="1"/>
    </xf>
    <xf numFmtId="168" fontId="24" fillId="0" borderId="52" xfId="80" applyNumberFormat="1" applyFont="1" applyBorder="1" applyAlignment="1">
      <alignment vertical="center"/>
    </xf>
    <xf numFmtId="168" fontId="25" fillId="0" borderId="25" xfId="80" applyNumberFormat="1" applyFont="1" applyBorder="1" applyAlignment="1">
      <alignment vertical="center"/>
    </xf>
    <xf numFmtId="168" fontId="25" fillId="0" borderId="26" xfId="80" applyNumberFormat="1" applyFont="1" applyBorder="1" applyAlignment="1">
      <alignment vertical="center"/>
    </xf>
    <xf numFmtId="168" fontId="23" fillId="0" borderId="23" xfId="80" applyNumberFormat="1" applyFont="1" applyBorder="1" applyAlignment="1">
      <alignment vertical="center"/>
    </xf>
    <xf numFmtId="168" fontId="23" fillId="0" borderId="36" xfId="80" applyNumberFormat="1" applyFont="1" applyBorder="1" applyAlignment="1">
      <alignment vertical="center"/>
    </xf>
    <xf numFmtId="168" fontId="25" fillId="0" borderId="23" xfId="80" applyNumberFormat="1" applyFont="1" applyBorder="1" applyAlignment="1">
      <alignment vertical="center"/>
    </xf>
    <xf numFmtId="168" fontId="25" fillId="0" borderId="36" xfId="80" applyNumberFormat="1" applyFont="1" applyBorder="1" applyAlignment="1">
      <alignment vertical="center"/>
    </xf>
    <xf numFmtId="49" fontId="24" fillId="0" borderId="53" xfId="0" applyNumberFormat="1" applyFont="1" applyFill="1" applyBorder="1" applyAlignment="1">
      <alignment horizontal="center" vertical="center"/>
    </xf>
    <xf numFmtId="168" fontId="2" fillId="47" borderId="0" xfId="123" applyNumberFormat="1" applyFill="1">
      <alignment/>
      <protection/>
    </xf>
    <xf numFmtId="3" fontId="2" fillId="47" borderId="0" xfId="123" applyNumberFormat="1" applyFill="1">
      <alignment/>
      <protection/>
    </xf>
    <xf numFmtId="168" fontId="34" fillId="47" borderId="0" xfId="123" applyNumberFormat="1" applyFont="1" applyFill="1">
      <alignment/>
      <protection/>
    </xf>
    <xf numFmtId="0" fontId="24" fillId="47" borderId="0" xfId="0" applyFont="1" applyFill="1" applyAlignment="1">
      <alignment horizontal="center" vertical="center"/>
    </xf>
    <xf numFmtId="0" fontId="23" fillId="47" borderId="19" xfId="0" applyFont="1" applyFill="1" applyBorder="1" applyAlignment="1">
      <alignment horizontal="center" vertical="center"/>
    </xf>
    <xf numFmtId="0" fontId="21" fillId="47" borderId="19" xfId="0" applyFont="1" applyFill="1" applyBorder="1" applyAlignment="1">
      <alignment vertical="center" wrapText="1"/>
    </xf>
    <xf numFmtId="1" fontId="20" fillId="47" borderId="19" xfId="0" applyNumberFormat="1" applyFont="1" applyFill="1" applyBorder="1" applyAlignment="1">
      <alignment horizontal="center" vertical="center"/>
    </xf>
    <xf numFmtId="0" fontId="20" fillId="47" borderId="19" xfId="0" applyFont="1" applyFill="1" applyBorder="1" applyAlignment="1">
      <alignment horizontal="center" vertical="center"/>
    </xf>
    <xf numFmtId="0" fontId="21" fillId="47" borderId="19" xfId="0" applyFont="1" applyFill="1" applyBorder="1" applyAlignment="1">
      <alignment horizontal="left" vertical="center" wrapText="1"/>
    </xf>
    <xf numFmtId="0" fontId="23" fillId="47" borderId="19" xfId="0" applyFont="1" applyFill="1" applyBorder="1" applyAlignment="1">
      <alignment horizontal="left" vertical="center" wrapText="1"/>
    </xf>
    <xf numFmtId="0" fontId="31" fillId="47" borderId="19" xfId="0" applyFont="1" applyFill="1" applyBorder="1" applyAlignment="1">
      <alignment horizontal="left" vertical="center" wrapText="1"/>
    </xf>
    <xf numFmtId="0" fontId="21" fillId="47" borderId="19" xfId="0" applyFont="1" applyFill="1" applyBorder="1" applyAlignment="1">
      <alignment horizontal="left" vertical="center"/>
    </xf>
    <xf numFmtId="0" fontId="29" fillId="47" borderId="19" xfId="0" applyFont="1" applyFill="1" applyBorder="1" applyAlignment="1">
      <alignment horizontal="left" vertical="center"/>
    </xf>
    <xf numFmtId="168" fontId="25" fillId="0" borderId="36" xfId="80" applyNumberFormat="1" applyFont="1" applyFill="1" applyBorder="1" applyAlignment="1">
      <alignment horizontal="center" vertical="center"/>
    </xf>
    <xf numFmtId="168" fontId="25" fillId="47" borderId="19" xfId="0" applyNumberFormat="1" applyFont="1" applyFill="1" applyBorder="1" applyAlignment="1">
      <alignment vertical="center"/>
    </xf>
    <xf numFmtId="168" fontId="24" fillId="0" borderId="28" xfId="80" applyNumberFormat="1" applyFont="1" applyFill="1" applyBorder="1" applyAlignment="1">
      <alignment horizontal="center" vertical="center"/>
    </xf>
    <xf numFmtId="168" fontId="24" fillId="0" borderId="28" xfId="80" applyNumberFormat="1" applyFont="1" applyFill="1" applyBorder="1" applyAlignment="1">
      <alignment vertical="center"/>
    </xf>
    <xf numFmtId="168" fontId="25" fillId="47" borderId="44" xfId="0" applyNumberFormat="1" applyFont="1" applyFill="1" applyBorder="1" applyAlignment="1">
      <alignment vertical="center"/>
    </xf>
    <xf numFmtId="0" fontId="25" fillId="47" borderId="45" xfId="0" applyFont="1" applyFill="1" applyBorder="1" applyAlignment="1">
      <alignment vertical="center"/>
    </xf>
    <xf numFmtId="168" fontId="28" fillId="47" borderId="19" xfId="80" applyNumberFormat="1" applyFont="1" applyFill="1" applyBorder="1" applyAlignment="1">
      <alignment horizontal="center" vertical="center"/>
    </xf>
    <xf numFmtId="168" fontId="23" fillId="47" borderId="23" xfId="80" applyNumberFormat="1" applyFont="1" applyFill="1" applyBorder="1" applyAlignment="1">
      <alignment vertical="center"/>
    </xf>
    <xf numFmtId="0" fontId="22" fillId="47" borderId="23" xfId="0" applyFont="1" applyFill="1" applyBorder="1" applyAlignment="1">
      <alignment vertical="center"/>
    </xf>
    <xf numFmtId="0" fontId="22" fillId="47" borderId="36" xfId="0" applyFont="1" applyFill="1" applyBorder="1" applyAlignment="1">
      <alignment vertical="center"/>
    </xf>
    <xf numFmtId="0" fontId="24" fillId="47" borderId="0" xfId="0" applyFont="1" applyFill="1" applyAlignment="1">
      <alignment vertical="center"/>
    </xf>
    <xf numFmtId="168" fontId="24" fillId="47" borderId="0" xfId="80" applyNumberFormat="1" applyFont="1" applyFill="1" applyAlignment="1">
      <alignment vertical="center"/>
    </xf>
    <xf numFmtId="168" fontId="25" fillId="47" borderId="54" xfId="0" applyNumberFormat="1" applyFont="1" applyFill="1" applyBorder="1" applyAlignment="1">
      <alignment vertical="center"/>
    </xf>
    <xf numFmtId="0" fontId="25" fillId="47" borderId="54" xfId="0" applyFont="1" applyFill="1" applyBorder="1" applyAlignment="1">
      <alignment vertical="center"/>
    </xf>
    <xf numFmtId="0" fontId="25" fillId="47" borderId="55" xfId="0" applyFont="1" applyFill="1" applyBorder="1" applyAlignment="1">
      <alignment vertical="center"/>
    </xf>
    <xf numFmtId="168" fontId="25" fillId="47" borderId="38" xfId="0" applyNumberFormat="1" applyFont="1" applyFill="1" applyBorder="1" applyAlignment="1">
      <alignment vertical="center"/>
    </xf>
    <xf numFmtId="0" fontId="25" fillId="47" borderId="38" xfId="0" applyFont="1" applyFill="1" applyBorder="1" applyAlignment="1">
      <alignment vertical="center"/>
    </xf>
    <xf numFmtId="0" fontId="25" fillId="47" borderId="39" xfId="0" applyFont="1" applyFill="1" applyBorder="1" applyAlignment="1">
      <alignment vertical="center"/>
    </xf>
    <xf numFmtId="0" fontId="24" fillId="0" borderId="0" xfId="0" applyFont="1" applyAlignment="1">
      <alignment horizontal="right"/>
    </xf>
    <xf numFmtId="0" fontId="24" fillId="47" borderId="22" xfId="0" applyFont="1" applyFill="1" applyBorder="1" applyAlignment="1">
      <alignment horizontal="center" vertical="center"/>
    </xf>
    <xf numFmtId="0" fontId="24" fillId="47" borderId="2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168" fontId="24" fillId="47" borderId="0" xfId="80" applyNumberFormat="1" applyFont="1" applyFill="1" applyBorder="1" applyAlignment="1">
      <alignment horizontal="center" vertical="center" wrapText="1"/>
    </xf>
    <xf numFmtId="168" fontId="25" fillId="47" borderId="20" xfId="80" applyNumberFormat="1" applyFont="1" applyFill="1" applyBorder="1" applyAlignment="1">
      <alignment horizontal="center" vertical="center"/>
    </xf>
    <xf numFmtId="168" fontId="24" fillId="47" borderId="23" xfId="8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168" fontId="24" fillId="0" borderId="21" xfId="80" applyNumberFormat="1" applyFont="1" applyFill="1" applyBorder="1" applyAlignment="1">
      <alignment horizontal="center" vertical="center"/>
    </xf>
    <xf numFmtId="168" fontId="24" fillId="0" borderId="27" xfId="80" applyNumberFormat="1" applyFont="1" applyFill="1" applyBorder="1" applyAlignment="1">
      <alignment horizontal="center" vertical="center"/>
    </xf>
    <xf numFmtId="168" fontId="24" fillId="0" borderId="27" xfId="80" applyNumberFormat="1" applyFont="1" applyFill="1" applyBorder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91" fillId="47" borderId="0" xfId="123" applyFont="1" applyFill="1">
      <alignment/>
      <protection/>
    </xf>
    <xf numFmtId="0" fontId="24" fillId="0" borderId="2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68" fontId="24" fillId="47" borderId="32" xfId="80" applyNumberFormat="1" applyFont="1" applyFill="1" applyBorder="1" applyAlignment="1">
      <alignment horizontal="center" vertical="center" wrapText="1"/>
    </xf>
    <xf numFmtId="168" fontId="24" fillId="0" borderId="37" xfId="8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168" fontId="25" fillId="0" borderId="23" xfId="80" applyNumberFormat="1" applyFont="1" applyFill="1" applyBorder="1" applyAlignment="1">
      <alignment horizontal="center" vertical="center" wrapText="1"/>
    </xf>
    <xf numFmtId="168" fontId="24" fillId="0" borderId="36" xfId="80" applyNumberFormat="1" applyFont="1" applyFill="1" applyBorder="1" applyAlignment="1">
      <alignment horizontal="center" vertical="center" wrapText="1"/>
    </xf>
    <xf numFmtId="168" fontId="25" fillId="0" borderId="0" xfId="80" applyNumberFormat="1" applyFont="1" applyFill="1" applyAlignment="1">
      <alignment/>
    </xf>
    <xf numFmtId="0" fontId="25" fillId="0" borderId="0" xfId="0" applyFont="1" applyFill="1" applyAlignment="1">
      <alignment/>
    </xf>
    <xf numFmtId="168" fontId="24" fillId="0" borderId="0" xfId="80" applyNumberFormat="1" applyFont="1" applyFill="1" applyAlignment="1">
      <alignment/>
    </xf>
    <xf numFmtId="168" fontId="2" fillId="47" borderId="0" xfId="123" applyNumberFormat="1" applyFont="1" applyFill="1">
      <alignment/>
      <protection/>
    </xf>
    <xf numFmtId="0" fontId="2" fillId="47" borderId="0" xfId="123" applyFont="1" applyFill="1">
      <alignment/>
      <protection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4" fillId="0" borderId="27" xfId="0" applyFont="1" applyFill="1" applyBorder="1" applyAlignment="1">
      <alignment horizontal="center" vertical="center"/>
    </xf>
    <xf numFmtId="168" fontId="24" fillId="0" borderId="56" xfId="80" applyNumberFormat="1" applyFont="1" applyFill="1" applyBorder="1" applyAlignment="1">
      <alignment horizontal="center" vertical="center"/>
    </xf>
    <xf numFmtId="168" fontId="25" fillId="0" borderId="0" xfId="0" applyNumberFormat="1" applyFont="1" applyAlignment="1">
      <alignment/>
    </xf>
    <xf numFmtId="0" fontId="25" fillId="0" borderId="53" xfId="0" applyFont="1" applyBorder="1" applyAlignment="1">
      <alignment/>
    </xf>
    <xf numFmtId="0" fontId="25" fillId="0" borderId="30" xfId="0" applyFont="1" applyBorder="1" applyAlignment="1">
      <alignment/>
    </xf>
    <xf numFmtId="168" fontId="25" fillId="0" borderId="30" xfId="80" applyNumberFormat="1" applyFont="1" applyBorder="1" applyAlignment="1">
      <alignment vertical="center"/>
    </xf>
    <xf numFmtId="168" fontId="25" fillId="0" borderId="35" xfId="80" applyNumberFormat="1" applyFont="1" applyFill="1" applyBorder="1" applyAlignment="1">
      <alignment horizontal="center" vertical="center"/>
    </xf>
    <xf numFmtId="168" fontId="25" fillId="0" borderId="57" xfId="80" applyNumberFormat="1" applyFont="1" applyBorder="1" applyAlignment="1">
      <alignment vertical="center"/>
    </xf>
    <xf numFmtId="168" fontId="25" fillId="0" borderId="34" xfId="80" applyNumberFormat="1" applyFont="1" applyBorder="1" applyAlignment="1">
      <alignment vertical="center"/>
    </xf>
    <xf numFmtId="168" fontId="23" fillId="0" borderId="57" xfId="80" applyNumberFormat="1" applyFont="1" applyBorder="1" applyAlignment="1">
      <alignment vertical="center"/>
    </xf>
    <xf numFmtId="168" fontId="25" fillId="47" borderId="23" xfId="0" applyNumberFormat="1" applyFont="1" applyFill="1" applyBorder="1" applyAlignment="1">
      <alignment vertical="center"/>
    </xf>
    <xf numFmtId="168" fontId="24" fillId="0" borderId="21" xfId="80" applyNumberFormat="1" applyFont="1" applyFill="1" applyBorder="1" applyAlignment="1">
      <alignment vertical="center"/>
    </xf>
    <xf numFmtId="168" fontId="24" fillId="0" borderId="28" xfId="80" applyNumberFormat="1" applyFont="1" applyFill="1" applyBorder="1" applyAlignment="1">
      <alignment/>
    </xf>
    <xf numFmtId="168" fontId="25" fillId="0" borderId="36" xfId="80" applyNumberFormat="1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8" xfId="0" applyFont="1" applyBorder="1" applyAlignment="1" quotePrefix="1">
      <alignment horizontal="center" vertical="center"/>
    </xf>
    <xf numFmtId="0" fontId="24" fillId="0" borderId="59" xfId="0" applyFont="1" applyBorder="1" applyAlignment="1" quotePrefix="1">
      <alignment horizontal="center" vertical="center"/>
    </xf>
    <xf numFmtId="168" fontId="25" fillId="0" borderId="37" xfId="80" applyNumberFormat="1" applyFont="1" applyBorder="1" applyAlignment="1">
      <alignment vertical="center"/>
    </xf>
    <xf numFmtId="0" fontId="25" fillId="47" borderId="19" xfId="0" applyFont="1" applyFill="1" applyBorder="1" applyAlignment="1">
      <alignment horizontal="center" vertical="center" wrapText="1"/>
    </xf>
    <xf numFmtId="0" fontId="2" fillId="47" borderId="0" xfId="123" applyFill="1" applyAlignment="1">
      <alignment vertical="center"/>
      <protection/>
    </xf>
    <xf numFmtId="0" fontId="21" fillId="47" borderId="19" xfId="123" applyFont="1" applyFill="1" applyBorder="1" applyAlignment="1">
      <alignment horizontal="center" vertical="center" wrapText="1"/>
      <protection/>
    </xf>
    <xf numFmtId="0" fontId="2" fillId="47" borderId="0" xfId="123" applyFill="1" applyAlignment="1">
      <alignment horizontal="left" vertical="center"/>
      <protection/>
    </xf>
    <xf numFmtId="165" fontId="21" fillId="47" borderId="19" xfId="123" applyNumberFormat="1" applyFont="1" applyFill="1" applyBorder="1" applyAlignment="1">
      <alignment horizontal="left" vertical="center"/>
      <protection/>
    </xf>
    <xf numFmtId="165" fontId="29" fillId="47" borderId="19" xfId="123" applyNumberFormat="1" applyFont="1" applyFill="1" applyBorder="1" applyAlignment="1">
      <alignment horizontal="left" vertical="center"/>
      <protection/>
    </xf>
    <xf numFmtId="0" fontId="24" fillId="0" borderId="37" xfId="0" applyFont="1" applyFill="1" applyBorder="1" applyAlignment="1">
      <alignment horizontal="center" vertical="center"/>
    </xf>
    <xf numFmtId="168" fontId="24" fillId="0" borderId="53" xfId="80" applyNumberFormat="1" applyFont="1" applyFill="1" applyBorder="1" applyAlignment="1">
      <alignment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168" fontId="24" fillId="0" borderId="48" xfId="80" applyNumberFormat="1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1" xfId="0" applyFont="1" applyFill="1" applyBorder="1" applyAlignment="1" quotePrefix="1">
      <alignment horizontal="center" vertical="center"/>
    </xf>
    <xf numFmtId="0" fontId="24" fillId="0" borderId="21" xfId="0" applyFont="1" applyFill="1" applyBorder="1" applyAlignment="1">
      <alignment vertical="center"/>
    </xf>
    <xf numFmtId="168" fontId="24" fillId="0" borderId="52" xfId="80" applyNumberFormat="1" applyFont="1" applyFill="1" applyBorder="1" applyAlignment="1">
      <alignment vertical="center"/>
    </xf>
    <xf numFmtId="168" fontId="24" fillId="0" borderId="49" xfId="80" applyNumberFormat="1" applyFont="1" applyFill="1" applyBorder="1" applyAlignment="1">
      <alignment vertical="center"/>
    </xf>
    <xf numFmtId="0" fontId="24" fillId="0" borderId="27" xfId="0" applyFont="1" applyFill="1" applyBorder="1" applyAlignment="1" quotePrefix="1">
      <alignment horizontal="center" vertical="center"/>
    </xf>
    <xf numFmtId="0" fontId="24" fillId="0" borderId="27" xfId="0" applyFont="1" applyFill="1" applyBorder="1" applyAlignment="1">
      <alignment vertical="center"/>
    </xf>
    <xf numFmtId="168" fontId="24" fillId="0" borderId="27" xfId="80" applyNumberFormat="1" applyFont="1" applyFill="1" applyBorder="1" applyAlignment="1">
      <alignment vertical="center"/>
    </xf>
    <xf numFmtId="168" fontId="24" fillId="0" borderId="28" xfId="80" applyNumberFormat="1" applyFont="1" applyFill="1" applyBorder="1" applyAlignment="1">
      <alignment horizontal="center" vertical="center" wrapText="1"/>
    </xf>
    <xf numFmtId="16" fontId="24" fillId="0" borderId="37" xfId="0" applyNumberFormat="1" applyFont="1" applyFill="1" applyBorder="1" applyAlignment="1">
      <alignment horizontal="center" vertical="center"/>
    </xf>
    <xf numFmtId="168" fontId="24" fillId="0" borderId="21" xfId="8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 quotePrefix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168" fontId="24" fillId="0" borderId="62" xfId="8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/>
    </xf>
    <xf numFmtId="168" fontId="24" fillId="0" borderId="63" xfId="8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/>
    </xf>
    <xf numFmtId="168" fontId="24" fillId="0" borderId="61" xfId="80" applyNumberFormat="1" applyFont="1" applyFill="1" applyBorder="1" applyAlignment="1">
      <alignment/>
    </xf>
    <xf numFmtId="49" fontId="24" fillId="0" borderId="28" xfId="0" applyNumberFormat="1" applyFont="1" applyFill="1" applyBorder="1" applyAlignment="1" quotePrefix="1">
      <alignment vertical="center"/>
    </xf>
    <xf numFmtId="49" fontId="24" fillId="0" borderId="21" xfId="0" applyNumberFormat="1" applyFont="1" applyFill="1" applyBorder="1" applyAlignment="1" quotePrefix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 quotePrefix="1">
      <alignment vertical="center"/>
    </xf>
    <xf numFmtId="0" fontId="24" fillId="0" borderId="25" xfId="0" applyFont="1" applyFill="1" applyBorder="1" applyAlignment="1">
      <alignment/>
    </xf>
    <xf numFmtId="168" fontId="24" fillId="0" borderId="25" xfId="80" applyNumberFormat="1" applyFont="1" applyFill="1" applyBorder="1" applyAlignment="1">
      <alignment vertical="center"/>
    </xf>
    <xf numFmtId="49" fontId="24" fillId="0" borderId="27" xfId="0" applyNumberFormat="1" applyFont="1" applyFill="1" applyBorder="1" applyAlignment="1" quotePrefix="1">
      <alignment horizontal="center" vertical="center"/>
    </xf>
    <xf numFmtId="0" fontId="24" fillId="0" borderId="27" xfId="0" applyFont="1" applyFill="1" applyBorder="1" applyAlignment="1">
      <alignment horizontal="left" vertical="center" wrapText="1"/>
    </xf>
    <xf numFmtId="168" fontId="24" fillId="0" borderId="29" xfId="80" applyNumberFormat="1" applyFont="1" applyFill="1" applyBorder="1" applyAlignment="1">
      <alignment vertical="center"/>
    </xf>
    <xf numFmtId="49" fontId="24" fillId="0" borderId="21" xfId="0" applyNumberFormat="1" applyFont="1" applyFill="1" applyBorder="1" applyAlignment="1" quotePrefix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168" fontId="24" fillId="0" borderId="25" xfId="8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168" fontId="24" fillId="0" borderId="23" xfId="80" applyNumberFormat="1" applyFont="1" applyFill="1" applyBorder="1" applyAlignment="1">
      <alignment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18" fillId="0" borderId="21" xfId="115" applyFont="1" applyBorder="1">
      <alignment/>
      <protection/>
    </xf>
    <xf numFmtId="5" fontId="44" fillId="47" borderId="21" xfId="115" applyNumberFormat="1" applyFont="1" applyFill="1" applyBorder="1" applyAlignment="1">
      <alignment horizontal="right" vertical="center" wrapText="1"/>
      <protection/>
    </xf>
    <xf numFmtId="5" fontId="44" fillId="47" borderId="49" xfId="115" applyNumberFormat="1" applyFont="1" applyFill="1" applyBorder="1" applyAlignment="1">
      <alignment horizontal="right" vertical="center" wrapText="1"/>
      <protection/>
    </xf>
    <xf numFmtId="5" fontId="45" fillId="7" borderId="21" xfId="115" applyNumberFormat="1" applyFont="1" applyFill="1" applyBorder="1" applyAlignment="1">
      <alignment horizontal="right" vertical="center" wrapText="1"/>
      <protection/>
    </xf>
    <xf numFmtId="5" fontId="45" fillId="7" borderId="49" xfId="115" applyNumberFormat="1" applyFont="1" applyFill="1" applyBorder="1" applyAlignment="1">
      <alignment horizontal="right" vertical="center" wrapText="1"/>
      <protection/>
    </xf>
    <xf numFmtId="5" fontId="44" fillId="48" borderId="21" xfId="115" applyNumberFormat="1" applyFont="1" applyFill="1" applyBorder="1" applyAlignment="1">
      <alignment horizontal="right" vertical="center" wrapText="1"/>
      <protection/>
    </xf>
    <xf numFmtId="5" fontId="44" fillId="48" borderId="49" xfId="115" applyNumberFormat="1" applyFont="1" applyFill="1" applyBorder="1" applyAlignment="1">
      <alignment horizontal="right" vertical="center" wrapText="1"/>
      <protection/>
    </xf>
    <xf numFmtId="0" fontId="46" fillId="0" borderId="37" xfId="115" applyFont="1" applyBorder="1">
      <alignment/>
      <protection/>
    </xf>
    <xf numFmtId="0" fontId="46" fillId="0" borderId="21" xfId="115" applyFont="1" applyBorder="1">
      <alignment/>
      <protection/>
    </xf>
    <xf numFmtId="0" fontId="18" fillId="0" borderId="37" xfId="115" applyFont="1" applyBorder="1">
      <alignment/>
      <protection/>
    </xf>
    <xf numFmtId="0" fontId="74" fillId="0" borderId="37" xfId="115" applyBorder="1">
      <alignment/>
      <protection/>
    </xf>
    <xf numFmtId="0" fontId="74" fillId="0" borderId="21" xfId="115" applyBorder="1">
      <alignment/>
      <protection/>
    </xf>
    <xf numFmtId="0" fontId="0" fillId="0" borderId="21" xfId="115" applyFont="1" applyBorder="1">
      <alignment/>
      <protection/>
    </xf>
    <xf numFmtId="0" fontId="0" fillId="0" borderId="37" xfId="115" applyFont="1" applyBorder="1">
      <alignment/>
      <protection/>
    </xf>
    <xf numFmtId="0" fontId="87" fillId="0" borderId="21" xfId="115" applyFont="1" applyBorder="1">
      <alignment/>
      <protection/>
    </xf>
    <xf numFmtId="0" fontId="92" fillId="48" borderId="21" xfId="115" applyFont="1" applyFill="1" applyBorder="1">
      <alignment/>
      <protection/>
    </xf>
    <xf numFmtId="0" fontId="93" fillId="0" borderId="21" xfId="115" applyFont="1" applyBorder="1">
      <alignment/>
      <protection/>
    </xf>
    <xf numFmtId="0" fontId="46" fillId="0" borderId="21" xfId="115" applyFont="1" applyBorder="1" applyAlignment="1">
      <alignment wrapText="1"/>
      <protection/>
    </xf>
    <xf numFmtId="0" fontId="74" fillId="0" borderId="21" xfId="115" applyFill="1" applyBorder="1" applyAlignment="1">
      <alignment horizontal="center"/>
      <protection/>
    </xf>
    <xf numFmtId="0" fontId="46" fillId="0" borderId="37" xfId="115" applyFont="1" applyFill="1" applyBorder="1">
      <alignment/>
      <protection/>
    </xf>
    <xf numFmtId="0" fontId="46" fillId="0" borderId="21" xfId="115" applyFont="1" applyFill="1" applyBorder="1">
      <alignment/>
      <protection/>
    </xf>
    <xf numFmtId="0" fontId="74" fillId="0" borderId="0" xfId="115">
      <alignment/>
      <protection/>
    </xf>
    <xf numFmtId="0" fontId="24" fillId="0" borderId="30" xfId="0" applyFont="1" applyBorder="1" applyAlignment="1" quotePrefix="1">
      <alignment horizontal="center" vertical="center"/>
    </xf>
    <xf numFmtId="0" fontId="24" fillId="0" borderId="21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168" fontId="20" fillId="47" borderId="42" xfId="0" applyNumberFormat="1" applyFont="1" applyFill="1" applyBorder="1" applyAlignment="1">
      <alignment/>
    </xf>
    <xf numFmtId="0" fontId="24" fillId="47" borderId="31" xfId="0" applyFont="1" applyFill="1" applyBorder="1" applyAlignment="1">
      <alignment horizontal="center" vertical="center" wrapText="1"/>
    </xf>
    <xf numFmtId="168" fontId="24" fillId="47" borderId="19" xfId="80" applyNumberFormat="1" applyFont="1" applyFill="1" applyBorder="1" applyAlignment="1">
      <alignment horizontal="center" vertical="center" wrapText="1"/>
    </xf>
    <xf numFmtId="0" fontId="25" fillId="47" borderId="38" xfId="0" applyFont="1" applyFill="1" applyBorder="1" applyAlignment="1">
      <alignment horizontal="center" vertical="center"/>
    </xf>
    <xf numFmtId="168" fontId="24" fillId="0" borderId="27" xfId="80" applyNumberFormat="1" applyFont="1" applyBorder="1" applyAlignment="1">
      <alignment vertical="center"/>
    </xf>
    <xf numFmtId="0" fontId="74" fillId="0" borderId="22" xfId="115" applyBorder="1" applyAlignment="1">
      <alignment horizontal="center" wrapText="1"/>
      <protection/>
    </xf>
    <xf numFmtId="0" fontId="74" fillId="0" borderId="23" xfId="115" applyBorder="1" applyAlignment="1">
      <alignment horizontal="center" vertical="center"/>
      <protection/>
    </xf>
    <xf numFmtId="0" fontId="74" fillId="0" borderId="23" xfId="115" applyBorder="1" applyAlignment="1">
      <alignment horizontal="center" vertical="center" wrapText="1"/>
      <protection/>
    </xf>
    <xf numFmtId="0" fontId="74" fillId="0" borderId="36" xfId="115" applyBorder="1" applyAlignment="1">
      <alignment horizontal="center" vertical="center" wrapText="1"/>
      <protection/>
    </xf>
    <xf numFmtId="0" fontId="18" fillId="0" borderId="29" xfId="115" applyFont="1" applyBorder="1">
      <alignment/>
      <protection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87" fillId="7" borderId="64" xfId="0" applyFont="1" applyFill="1" applyBorder="1" applyAlignment="1">
      <alignment vertical="center" wrapText="1"/>
    </xf>
    <xf numFmtId="0" fontId="87" fillId="7" borderId="65" xfId="0" applyFont="1" applyFill="1" applyBorder="1" applyAlignment="1">
      <alignment vertical="center" wrapText="1"/>
    </xf>
    <xf numFmtId="189" fontId="45" fillId="7" borderId="58" xfId="115" applyNumberFormat="1" applyFont="1" applyFill="1" applyBorder="1" applyAlignment="1">
      <alignment horizontal="right" vertical="center" wrapText="1"/>
      <protection/>
    </xf>
    <xf numFmtId="5" fontId="44" fillId="47" borderId="58" xfId="115" applyNumberFormat="1" applyFont="1" applyFill="1" applyBorder="1" applyAlignment="1">
      <alignment horizontal="right" vertical="center" wrapText="1"/>
      <protection/>
    </xf>
    <xf numFmtId="0" fontId="0" fillId="48" borderId="64" xfId="0" applyFill="1" applyBorder="1" applyAlignment="1">
      <alignment vertical="center" wrapText="1"/>
    </xf>
    <xf numFmtId="0" fontId="0" fillId="48" borderId="65" xfId="0" applyFill="1" applyBorder="1" applyAlignment="1">
      <alignment vertical="center" wrapText="1"/>
    </xf>
    <xf numFmtId="5" fontId="44" fillId="48" borderId="58" xfId="115" applyNumberFormat="1" applyFont="1" applyFill="1" applyBorder="1" applyAlignment="1">
      <alignment horizontal="right" vertical="center" wrapText="1"/>
      <protection/>
    </xf>
    <xf numFmtId="0" fontId="18" fillId="0" borderId="53" xfId="115" applyFont="1" applyBorder="1">
      <alignment/>
      <protection/>
    </xf>
    <xf numFmtId="0" fontId="18" fillId="0" borderId="28" xfId="115" applyFont="1" applyBorder="1">
      <alignment/>
      <protection/>
    </xf>
    <xf numFmtId="5" fontId="18" fillId="0" borderId="66" xfId="115" applyNumberFormat="1" applyFont="1" applyBorder="1" applyAlignment="1">
      <alignment/>
      <protection/>
    </xf>
    <xf numFmtId="170" fontId="1" fillId="0" borderId="67" xfId="115" applyNumberFormat="1" applyFont="1" applyFill="1" applyBorder="1" applyAlignment="1">
      <alignment/>
      <protection/>
    </xf>
    <xf numFmtId="170" fontId="18" fillId="0" borderId="66" xfId="115" applyNumberFormat="1" applyFont="1" applyFill="1" applyBorder="1" applyAlignment="1">
      <alignment/>
      <protection/>
    </xf>
    <xf numFmtId="0" fontId="24" fillId="0" borderId="48" xfId="0" applyFont="1" applyFill="1" applyBorder="1" applyAlignment="1">
      <alignment horizontal="center" vertical="center"/>
    </xf>
    <xf numFmtId="0" fontId="24" fillId="47" borderId="38" xfId="0" applyFont="1" applyFill="1" applyBorder="1" applyAlignment="1">
      <alignment vertical="center"/>
    </xf>
    <xf numFmtId="0" fontId="24" fillId="47" borderId="39" xfId="0" applyFont="1" applyFill="1" applyBorder="1" applyAlignment="1">
      <alignment horizontal="right" vertical="center"/>
    </xf>
    <xf numFmtId="0" fontId="24" fillId="47" borderId="68" xfId="0" applyFont="1" applyFill="1" applyBorder="1" applyAlignment="1">
      <alignment horizontal="center"/>
    </xf>
    <xf numFmtId="0" fontId="24" fillId="47" borderId="44" xfId="0" applyFont="1" applyFill="1" applyBorder="1" applyAlignment="1">
      <alignment/>
    </xf>
    <xf numFmtId="0" fontId="24" fillId="47" borderId="44" xfId="0" applyFont="1" applyFill="1" applyBorder="1" applyAlignment="1">
      <alignment horizontal="center" vertical="center"/>
    </xf>
    <xf numFmtId="0" fontId="24" fillId="47" borderId="45" xfId="0" applyFont="1" applyFill="1" applyBorder="1" applyAlignment="1">
      <alignment vertical="center"/>
    </xf>
    <xf numFmtId="49" fontId="36" fillId="0" borderId="19" xfId="0" applyNumberFormat="1" applyFont="1" applyBorder="1" applyAlignment="1">
      <alignment horizontal="center" vertical="center"/>
    </xf>
    <xf numFmtId="0" fontId="37" fillId="31" borderId="19" xfId="0" applyFont="1" applyFill="1" applyBorder="1" applyAlignment="1">
      <alignment vertical="center" wrapText="1"/>
    </xf>
    <xf numFmtId="49" fontId="37" fillId="31" borderId="19" xfId="0" applyNumberFormat="1" applyFont="1" applyFill="1" applyBorder="1" applyAlignment="1">
      <alignment vertical="center"/>
    </xf>
    <xf numFmtId="0" fontId="37" fillId="31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vertical="center" wrapText="1"/>
    </xf>
    <xf numFmtId="0" fontId="36" fillId="0" borderId="19" xfId="0" applyFont="1" applyBorder="1" applyAlignment="1">
      <alignment horizontal="center" vertical="center"/>
    </xf>
    <xf numFmtId="49" fontId="36" fillId="0" borderId="19" xfId="0" applyNumberFormat="1" applyFont="1" applyBorder="1" applyAlignment="1" quotePrefix="1">
      <alignment horizontal="center" vertical="center"/>
    </xf>
    <xf numFmtId="49" fontId="36" fillId="31" borderId="19" xfId="0" applyNumberFormat="1" applyFont="1" applyFill="1" applyBorder="1" applyAlignment="1">
      <alignment horizontal="center" vertical="center"/>
    </xf>
    <xf numFmtId="49" fontId="37" fillId="31" borderId="19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/>
    </xf>
    <xf numFmtId="0" fontId="24" fillId="0" borderId="23" xfId="0" applyFont="1" applyFill="1" applyBorder="1" applyAlignment="1">
      <alignment vertical="center" wrapText="1"/>
    </xf>
    <xf numFmtId="168" fontId="24" fillId="0" borderId="23" xfId="80" applyNumberFormat="1" applyFont="1" applyFill="1" applyBorder="1" applyAlignment="1">
      <alignment horizontal="center" vertical="center"/>
    </xf>
    <xf numFmtId="168" fontId="24" fillId="0" borderId="26" xfId="80" applyNumberFormat="1" applyFont="1" applyFill="1" applyBorder="1" applyAlignment="1">
      <alignment horizontal="center" vertical="center"/>
    </xf>
    <xf numFmtId="168" fontId="24" fillId="47" borderId="19" xfId="8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 quotePrefix="1">
      <alignment horizontal="center" vertical="center"/>
    </xf>
    <xf numFmtId="168" fontId="25" fillId="0" borderId="19" xfId="0" applyNumberFormat="1" applyFont="1" applyBorder="1" applyAlignment="1">
      <alignment vertical="center"/>
    </xf>
    <xf numFmtId="49" fontId="24" fillId="0" borderId="21" xfId="0" applyNumberFormat="1" applyFont="1" applyBorder="1" applyAlignment="1" quotePrefix="1">
      <alignment horizontal="center" vertical="center"/>
    </xf>
    <xf numFmtId="0" fontId="22" fillId="47" borderId="0" xfId="123" applyFont="1" applyFill="1">
      <alignment/>
      <protection/>
    </xf>
    <xf numFmtId="0" fontId="22" fillId="47" borderId="0" xfId="123" applyFont="1" applyFill="1" applyAlignment="1">
      <alignment horizontal="left" vertical="center"/>
      <protection/>
    </xf>
    <xf numFmtId="168" fontId="22" fillId="47" borderId="0" xfId="89" applyNumberFormat="1" applyFont="1" applyFill="1" applyAlignment="1">
      <alignment/>
    </xf>
    <xf numFmtId="168" fontId="22" fillId="47" borderId="0" xfId="89" applyNumberFormat="1" applyFont="1" applyFill="1" applyAlignment="1">
      <alignment horizontal="right"/>
    </xf>
    <xf numFmtId="168" fontId="20" fillId="47" borderId="19" xfId="89" applyNumberFormat="1" applyFont="1" applyFill="1" applyBorder="1" applyAlignment="1">
      <alignment horizontal="center" vertical="center" wrapText="1"/>
    </xf>
    <xf numFmtId="168" fontId="22" fillId="47" borderId="19" xfId="89" applyNumberFormat="1" applyFont="1" applyFill="1" applyBorder="1" applyAlignment="1">
      <alignment horizontal="center" vertical="center" wrapText="1"/>
    </xf>
    <xf numFmtId="168" fontId="22" fillId="47" borderId="19" xfId="89" applyNumberFormat="1" applyFont="1" applyFill="1" applyBorder="1" applyAlignment="1" quotePrefix="1">
      <alignment horizontal="center" vertical="center" wrapText="1"/>
    </xf>
    <xf numFmtId="168" fontId="20" fillId="47" borderId="19" xfId="89" applyNumberFormat="1" applyFont="1" applyFill="1" applyBorder="1" applyAlignment="1">
      <alignment horizontal="center" vertical="center"/>
    </xf>
    <xf numFmtId="168" fontId="22" fillId="47" borderId="19" xfId="89" applyNumberFormat="1" applyFont="1" applyFill="1" applyBorder="1" applyAlignment="1">
      <alignment/>
    </xf>
    <xf numFmtId="168" fontId="23" fillId="47" borderId="19" xfId="89" applyNumberFormat="1" applyFont="1" applyFill="1" applyBorder="1" applyAlignment="1">
      <alignment/>
    </xf>
    <xf numFmtId="168" fontId="22" fillId="0" borderId="19" xfId="89" applyNumberFormat="1" applyFont="1" applyFill="1" applyBorder="1" applyAlignment="1">
      <alignment/>
    </xf>
    <xf numFmtId="0" fontId="22" fillId="47" borderId="19" xfId="123" applyFont="1" applyFill="1" applyBorder="1" applyAlignment="1">
      <alignment horizontal="left" vertical="center"/>
      <protection/>
    </xf>
    <xf numFmtId="0" fontId="22" fillId="47" borderId="0" xfId="123" applyFont="1" applyFill="1" applyAlignment="1">
      <alignment vertical="center"/>
      <protection/>
    </xf>
    <xf numFmtId="0" fontId="22" fillId="47" borderId="19" xfId="123" applyFont="1" applyFill="1" applyBorder="1" applyAlignment="1">
      <alignment vertical="center"/>
      <protection/>
    </xf>
    <xf numFmtId="168" fontId="22" fillId="0" borderId="43" xfId="89" applyNumberFormat="1" applyFont="1" applyFill="1" applyBorder="1" applyAlignment="1">
      <alignment horizontal="center" vertical="center" wrapText="1"/>
    </xf>
    <xf numFmtId="0" fontId="22" fillId="47" borderId="19" xfId="123" applyFont="1" applyFill="1" applyBorder="1">
      <alignment/>
      <protection/>
    </xf>
    <xf numFmtId="0" fontId="22" fillId="47" borderId="0" xfId="123" applyFont="1" applyFill="1" applyAlignment="1">
      <alignment horizontal="center"/>
      <protection/>
    </xf>
    <xf numFmtId="168" fontId="20" fillId="0" borderId="19" xfId="89" applyNumberFormat="1" applyFont="1" applyFill="1" applyBorder="1" applyAlignment="1">
      <alignment horizontal="center" vertical="center" wrapText="1"/>
    </xf>
    <xf numFmtId="168" fontId="22" fillId="47" borderId="19" xfId="90" applyNumberFormat="1" applyFont="1" applyFill="1" applyBorder="1" applyAlignment="1">
      <alignment vertical="center"/>
    </xf>
    <xf numFmtId="0" fontId="2" fillId="47" borderId="19" xfId="124" applyFill="1" applyBorder="1" applyAlignment="1">
      <alignment vertical="center"/>
      <protection/>
    </xf>
    <xf numFmtId="164" fontId="21" fillId="47" borderId="19" xfId="124" applyNumberFormat="1" applyFont="1" applyFill="1" applyBorder="1" applyAlignment="1" quotePrefix="1">
      <alignment horizontal="center" vertical="center"/>
      <protection/>
    </xf>
    <xf numFmtId="168" fontId="23" fillId="47" borderId="19" xfId="90" applyNumberFormat="1" applyFont="1" applyFill="1" applyBorder="1" applyAlignment="1">
      <alignment vertical="center"/>
    </xf>
    <xf numFmtId="165" fontId="21" fillId="47" borderId="19" xfId="124" applyNumberFormat="1" applyFont="1" applyFill="1" applyBorder="1" applyAlignment="1">
      <alignment vertical="center"/>
      <protection/>
    </xf>
    <xf numFmtId="0" fontId="21" fillId="47" borderId="19" xfId="124" applyFont="1" applyFill="1" applyBorder="1" applyAlignment="1">
      <alignment horizontal="right" vertical="center"/>
      <protection/>
    </xf>
    <xf numFmtId="165" fontId="29" fillId="47" borderId="19" xfId="124" applyNumberFormat="1" applyFont="1" applyFill="1" applyBorder="1" applyAlignment="1">
      <alignment vertical="center"/>
      <protection/>
    </xf>
    <xf numFmtId="0" fontId="29" fillId="47" borderId="19" xfId="124" applyFont="1" applyFill="1" applyBorder="1" applyAlignment="1">
      <alignment horizontal="left" vertical="center"/>
      <protection/>
    </xf>
    <xf numFmtId="0" fontId="21" fillId="47" borderId="19" xfId="124" applyFont="1" applyFill="1" applyBorder="1" applyAlignment="1">
      <alignment horizontal="left" vertical="center"/>
      <protection/>
    </xf>
    <xf numFmtId="0" fontId="23" fillId="47" borderId="19" xfId="124" applyFont="1" applyFill="1" applyBorder="1" applyAlignment="1">
      <alignment horizontal="left" vertical="center" wrapText="1"/>
      <protection/>
    </xf>
    <xf numFmtId="0" fontId="21" fillId="47" borderId="19" xfId="124" applyFont="1" applyFill="1" applyBorder="1" applyAlignment="1">
      <alignment horizontal="left" vertical="center" wrapText="1"/>
      <protection/>
    </xf>
    <xf numFmtId="0" fontId="31" fillId="47" borderId="19" xfId="124" applyFont="1" applyFill="1" applyBorder="1" applyAlignment="1">
      <alignment horizontal="left" vertical="center" wrapText="1"/>
      <protection/>
    </xf>
    <xf numFmtId="0" fontId="21" fillId="47" borderId="19" xfId="124" applyFont="1" applyFill="1" applyBorder="1" applyAlignment="1">
      <alignment vertical="center" wrapText="1"/>
      <protection/>
    </xf>
    <xf numFmtId="0" fontId="20" fillId="47" borderId="19" xfId="124" applyFont="1" applyFill="1" applyBorder="1" applyAlignment="1">
      <alignment horizontal="center" vertical="center"/>
      <protection/>
    </xf>
    <xf numFmtId="1" fontId="20" fillId="47" borderId="19" xfId="124" applyNumberFormat="1" applyFont="1" applyFill="1" applyBorder="1" applyAlignment="1">
      <alignment horizontal="center" vertical="center"/>
      <protection/>
    </xf>
    <xf numFmtId="168" fontId="20" fillId="47" borderId="19" xfId="90" applyNumberFormat="1" applyFont="1" applyFill="1" applyBorder="1" applyAlignment="1">
      <alignment horizontal="center" vertical="center" wrapText="1"/>
    </xf>
    <xf numFmtId="168" fontId="22" fillId="47" borderId="19" xfId="90" applyNumberFormat="1" applyFont="1" applyFill="1" applyBorder="1" applyAlignment="1">
      <alignment horizontal="center" vertical="center" wrapText="1"/>
    </xf>
    <xf numFmtId="0" fontId="21" fillId="47" borderId="19" xfId="124" applyFont="1" applyFill="1" applyBorder="1" applyAlignment="1">
      <alignment horizontal="center" vertical="center" wrapText="1"/>
      <protection/>
    </xf>
    <xf numFmtId="0" fontId="23" fillId="47" borderId="19" xfId="124" applyFont="1" applyFill="1" applyBorder="1" applyAlignment="1">
      <alignment horizontal="center" vertical="center"/>
      <protection/>
    </xf>
    <xf numFmtId="168" fontId="0" fillId="47" borderId="0" xfId="90" applyNumberFormat="1" applyFont="1" applyFill="1" applyAlignment="1">
      <alignment horizontal="right"/>
    </xf>
    <xf numFmtId="168" fontId="0" fillId="47" borderId="0" xfId="90" applyNumberFormat="1" applyFont="1" applyFill="1" applyAlignment="1">
      <alignment/>
    </xf>
    <xf numFmtId="0" fontId="2" fillId="47" borderId="0" xfId="124" applyFill="1" applyAlignment="1">
      <alignment vertical="center"/>
      <protection/>
    </xf>
    <xf numFmtId="0" fontId="2" fillId="47" borderId="0" xfId="124" applyFill="1">
      <alignment/>
      <protection/>
    </xf>
    <xf numFmtId="168" fontId="22" fillId="47" borderId="19" xfId="90" applyNumberFormat="1" applyFont="1" applyFill="1" applyBorder="1" applyAlignment="1">
      <alignment/>
    </xf>
    <xf numFmtId="0" fontId="2" fillId="47" borderId="19" xfId="124" applyFill="1" applyBorder="1" applyAlignment="1">
      <alignment horizontal="left" vertical="center"/>
      <protection/>
    </xf>
    <xf numFmtId="168" fontId="23" fillId="47" borderId="19" xfId="90" applyNumberFormat="1" applyFont="1" applyFill="1" applyBorder="1" applyAlignment="1">
      <alignment/>
    </xf>
    <xf numFmtId="165" fontId="21" fillId="47" borderId="19" xfId="124" applyNumberFormat="1" applyFont="1" applyFill="1" applyBorder="1" applyAlignment="1">
      <alignment horizontal="left" vertical="center"/>
      <protection/>
    </xf>
    <xf numFmtId="165" fontId="29" fillId="47" borderId="19" xfId="124" applyNumberFormat="1" applyFont="1" applyFill="1" applyBorder="1" applyAlignment="1">
      <alignment horizontal="left" vertical="center"/>
      <protection/>
    </xf>
    <xf numFmtId="0" fontId="2" fillId="47" borderId="0" xfId="124" applyFill="1" applyAlignment="1">
      <alignment horizontal="left" vertical="center"/>
      <protection/>
    </xf>
    <xf numFmtId="168" fontId="20" fillId="47" borderId="43" xfId="90" applyNumberFormat="1" applyFont="1" applyFill="1" applyBorder="1" applyAlignment="1">
      <alignment horizontal="center" vertical="center"/>
    </xf>
    <xf numFmtId="168" fontId="0" fillId="47" borderId="0" xfId="90" applyNumberFormat="1" applyFont="1" applyFill="1" applyAlignment="1">
      <alignment horizontal="right"/>
    </xf>
    <xf numFmtId="171" fontId="23" fillId="0" borderId="0" xfId="0" applyNumberFormat="1" applyFont="1" applyAlignment="1">
      <alignment/>
    </xf>
    <xf numFmtId="171" fontId="24" fillId="0" borderId="0" xfId="132" applyNumberFormat="1" applyFont="1" applyAlignment="1">
      <alignment/>
    </xf>
    <xf numFmtId="168" fontId="34" fillId="47" borderId="0" xfId="123" applyNumberFormat="1" applyFont="1" applyFill="1">
      <alignment/>
      <protection/>
    </xf>
    <xf numFmtId="0" fontId="24" fillId="47" borderId="27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9" fontId="24" fillId="0" borderId="37" xfId="0" applyNumberFormat="1" applyFont="1" applyBorder="1" applyAlignment="1" quotePrefix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168" fontId="25" fillId="0" borderId="33" xfId="80" applyNumberFormat="1" applyFont="1" applyFill="1" applyBorder="1" applyAlignment="1">
      <alignment/>
    </xf>
    <xf numFmtId="168" fontId="25" fillId="0" borderId="61" xfId="80" applyNumberFormat="1" applyFont="1" applyBorder="1" applyAlignment="1">
      <alignment horizontal="center" vertical="center"/>
    </xf>
    <xf numFmtId="168" fontId="25" fillId="0" borderId="69" xfId="80" applyNumberFormat="1" applyFont="1" applyBorder="1" applyAlignment="1">
      <alignment horizontal="center" vertical="center"/>
    </xf>
    <xf numFmtId="0" fontId="1" fillId="0" borderId="34" xfId="115" applyFont="1" applyBorder="1">
      <alignment/>
      <protection/>
    </xf>
    <xf numFmtId="0" fontId="1" fillId="0" borderId="30" xfId="115" applyFont="1" applyBorder="1">
      <alignment/>
      <protection/>
    </xf>
    <xf numFmtId="0" fontId="87" fillId="49" borderId="64" xfId="0" applyFont="1" applyFill="1" applyBorder="1" applyAlignment="1">
      <alignment vertical="center" wrapText="1"/>
    </xf>
    <xf numFmtId="0" fontId="87" fillId="49" borderId="65" xfId="0" applyFont="1" applyFill="1" applyBorder="1" applyAlignment="1">
      <alignment vertical="center" wrapText="1"/>
    </xf>
    <xf numFmtId="5" fontId="44" fillId="49" borderId="58" xfId="115" applyNumberFormat="1" applyFont="1" applyFill="1" applyBorder="1" applyAlignment="1">
      <alignment horizontal="right" vertical="center" wrapText="1"/>
      <protection/>
    </xf>
    <xf numFmtId="5" fontId="44" fillId="49" borderId="21" xfId="115" applyNumberFormat="1" applyFont="1" applyFill="1" applyBorder="1" applyAlignment="1">
      <alignment horizontal="right" vertical="center" wrapText="1"/>
      <protection/>
    </xf>
    <xf numFmtId="5" fontId="44" fillId="49" borderId="49" xfId="115" applyNumberFormat="1" applyFont="1" applyFill="1" applyBorder="1" applyAlignment="1">
      <alignment horizontal="right" vertical="center" wrapText="1"/>
      <protection/>
    </xf>
    <xf numFmtId="169" fontId="1" fillId="0" borderId="21" xfId="83" applyNumberFormat="1" applyFont="1" applyBorder="1" applyAlignment="1">
      <alignment/>
    </xf>
    <xf numFmtId="171" fontId="1" fillId="0" borderId="21" xfId="135" applyNumberFormat="1" applyFont="1" applyBorder="1" applyAlignment="1">
      <alignment/>
    </xf>
    <xf numFmtId="5" fontId="1" fillId="0" borderId="49" xfId="135" applyNumberFormat="1" applyFont="1" applyBorder="1" applyAlignment="1">
      <alignment/>
    </xf>
    <xf numFmtId="169" fontId="1" fillId="48" borderId="21" xfId="83" applyNumberFormat="1" applyFont="1" applyFill="1" applyBorder="1" applyAlignment="1">
      <alignment/>
    </xf>
    <xf numFmtId="171" fontId="1" fillId="48" borderId="21" xfId="135" applyNumberFormat="1" applyFont="1" applyFill="1" applyBorder="1" applyAlignment="1">
      <alignment/>
    </xf>
    <xf numFmtId="5" fontId="1" fillId="48" borderId="49" xfId="135" applyNumberFormat="1" applyFont="1" applyFill="1" applyBorder="1" applyAlignment="1">
      <alignment/>
    </xf>
    <xf numFmtId="0" fontId="0" fillId="0" borderId="37" xfId="115" applyFont="1" applyFill="1" applyBorder="1">
      <alignment/>
      <protection/>
    </xf>
    <xf numFmtId="0" fontId="0" fillId="0" borderId="21" xfId="115" applyFont="1" applyFill="1" applyBorder="1">
      <alignment/>
      <protection/>
    </xf>
    <xf numFmtId="169" fontId="1" fillId="0" borderId="21" xfId="83" applyNumberFormat="1" applyFont="1" applyFill="1" applyBorder="1" applyAlignment="1">
      <alignment/>
    </xf>
    <xf numFmtId="171" fontId="1" fillId="0" borderId="21" xfId="135" applyNumberFormat="1" applyFont="1" applyFill="1" applyBorder="1" applyAlignment="1">
      <alignment/>
    </xf>
    <xf numFmtId="5" fontId="1" fillId="0" borderId="49" xfId="135" applyNumberFormat="1" applyFont="1" applyFill="1" applyBorder="1" applyAlignment="1">
      <alignment/>
    </xf>
    <xf numFmtId="0" fontId="46" fillId="48" borderId="37" xfId="115" applyFont="1" applyFill="1" applyBorder="1">
      <alignment/>
      <protection/>
    </xf>
    <xf numFmtId="5" fontId="18" fillId="48" borderId="49" xfId="83" applyNumberFormat="1" applyFont="1" applyFill="1" applyBorder="1" applyAlignment="1">
      <alignment horizontal="right"/>
    </xf>
    <xf numFmtId="172" fontId="1" fillId="0" borderId="21" xfId="83" applyNumberFormat="1" applyFont="1" applyBorder="1" applyAlignment="1">
      <alignment/>
    </xf>
    <xf numFmtId="43" fontId="1" fillId="0" borderId="21" xfId="83" applyNumberFormat="1" applyFont="1" applyFill="1" applyBorder="1" applyAlignment="1">
      <alignment/>
    </xf>
    <xf numFmtId="0" fontId="1" fillId="0" borderId="37" xfId="115" applyFont="1" applyFill="1" applyBorder="1">
      <alignment/>
      <protection/>
    </xf>
    <xf numFmtId="0" fontId="1" fillId="0" borderId="21" xfId="115" applyFont="1" applyFill="1" applyBorder="1">
      <alignment/>
      <protection/>
    </xf>
    <xf numFmtId="169" fontId="1" fillId="0" borderId="52" xfId="83" applyNumberFormat="1" applyFont="1" applyBorder="1" applyAlignment="1">
      <alignment/>
    </xf>
    <xf numFmtId="170" fontId="1" fillId="0" borderId="66" xfId="115" applyNumberFormat="1" applyFont="1" applyFill="1" applyBorder="1" applyAlignment="1">
      <alignment/>
      <protection/>
    </xf>
    <xf numFmtId="5" fontId="46" fillId="0" borderId="66" xfId="83" applyNumberFormat="1" applyFont="1" applyFill="1" applyBorder="1" applyAlignment="1">
      <alignment/>
    </xf>
    <xf numFmtId="0" fontId="74" fillId="48" borderId="49" xfId="115" applyFill="1" applyBorder="1" applyAlignment="1">
      <alignment/>
      <protection/>
    </xf>
    <xf numFmtId="0" fontId="74" fillId="48" borderId="26" xfId="115" applyFill="1" applyBorder="1" applyAlignment="1">
      <alignment/>
      <protection/>
    </xf>
    <xf numFmtId="0" fontId="24" fillId="0" borderId="70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5" xfId="0" applyFont="1" applyBorder="1" applyAlignment="1" quotePrefix="1">
      <alignment horizontal="center" vertical="center"/>
    </xf>
    <xf numFmtId="0" fontId="24" fillId="47" borderId="40" xfId="0" applyFont="1" applyFill="1" applyBorder="1" applyAlignment="1">
      <alignment/>
    </xf>
    <xf numFmtId="168" fontId="22" fillId="47" borderId="19" xfId="89" applyNumberFormat="1" applyFont="1" applyFill="1" applyBorder="1" applyAlignment="1">
      <alignment vertical="center"/>
    </xf>
    <xf numFmtId="168" fontId="21" fillId="47" borderId="19" xfId="80" applyNumberFormat="1" applyFont="1" applyFill="1" applyBorder="1" applyAlignment="1">
      <alignment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44" xfId="0" applyFont="1" applyFill="1" applyBorder="1" applyAlignment="1" quotePrefix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168" fontId="24" fillId="0" borderId="44" xfId="80" applyNumberFormat="1" applyFont="1" applyFill="1" applyBorder="1" applyAlignment="1">
      <alignment horizontal="center" vertical="center" wrapText="1"/>
    </xf>
    <xf numFmtId="168" fontId="24" fillId="0" borderId="45" xfId="80" applyNumberFormat="1" applyFont="1" applyFill="1" applyBorder="1" applyAlignment="1">
      <alignment horizontal="center" vertical="center" wrapText="1"/>
    </xf>
    <xf numFmtId="170" fontId="45" fillId="0" borderId="42" xfId="135" applyNumberFormat="1" applyFont="1" applyBorder="1" applyAlignment="1">
      <alignment/>
    </xf>
    <xf numFmtId="49" fontId="24" fillId="0" borderId="29" xfId="0" applyNumberFormat="1" applyFont="1" applyBorder="1" applyAlignment="1" quotePrefix="1">
      <alignment horizontal="center" vertical="center"/>
    </xf>
    <xf numFmtId="0" fontId="24" fillId="0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168" fontId="24" fillId="0" borderId="71" xfId="80" applyNumberFormat="1" applyFont="1" applyFill="1" applyBorder="1" applyAlignment="1">
      <alignment/>
    </xf>
    <xf numFmtId="168" fontId="24" fillId="0" borderId="56" xfId="80" applyNumberFormat="1" applyFont="1" applyFill="1" applyBorder="1" applyAlignment="1">
      <alignment/>
    </xf>
    <xf numFmtId="168" fontId="24" fillId="0" borderId="52" xfId="80" applyNumberFormat="1" applyFont="1" applyBorder="1" applyAlignment="1">
      <alignment/>
    </xf>
    <xf numFmtId="168" fontId="25" fillId="0" borderId="56" xfId="80" applyNumberFormat="1" applyFont="1" applyBorder="1" applyAlignment="1">
      <alignment/>
    </xf>
    <xf numFmtId="0" fontId="22" fillId="50" borderId="0" xfId="0" applyFont="1" applyFill="1" applyBorder="1" applyAlignment="1">
      <alignment/>
    </xf>
    <xf numFmtId="0" fontId="22" fillId="50" borderId="0" xfId="0" applyFont="1" applyFill="1" applyBorder="1" applyAlignment="1">
      <alignment horizontal="left" vertical="center"/>
    </xf>
    <xf numFmtId="0" fontId="20" fillId="50" borderId="0" xfId="0" applyFont="1" applyFill="1" applyAlignment="1">
      <alignment/>
    </xf>
    <xf numFmtId="0" fontId="22" fillId="50" borderId="0" xfId="0" applyFont="1" applyFill="1" applyAlignment="1">
      <alignment/>
    </xf>
    <xf numFmtId="0" fontId="22" fillId="50" borderId="0" xfId="0" applyFont="1" applyFill="1" applyBorder="1" applyAlignment="1">
      <alignment horizontal="center" vertical="center" wrapText="1"/>
    </xf>
    <xf numFmtId="0" fontId="23" fillId="50" borderId="19" xfId="0" applyFont="1" applyFill="1" applyBorder="1" applyAlignment="1">
      <alignment horizontal="center" vertical="center"/>
    </xf>
    <xf numFmtId="0" fontId="21" fillId="50" borderId="19" xfId="0" applyFont="1" applyFill="1" applyBorder="1" applyAlignment="1">
      <alignment horizontal="center" vertical="center" wrapText="1"/>
    </xf>
    <xf numFmtId="1" fontId="20" fillId="50" borderId="19" xfId="0" applyNumberFormat="1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0" fillId="50" borderId="0" xfId="0" applyFont="1" applyFill="1" applyBorder="1" applyAlignment="1">
      <alignment horizontal="center" vertical="center"/>
    </xf>
    <xf numFmtId="164" fontId="21" fillId="50" borderId="19" xfId="0" applyNumberFormat="1" applyFont="1" applyFill="1" applyBorder="1" applyAlignment="1" quotePrefix="1">
      <alignment horizontal="center" vertical="center"/>
    </xf>
    <xf numFmtId="0" fontId="21" fillId="50" borderId="19" xfId="0" applyFont="1" applyFill="1" applyBorder="1" applyAlignment="1">
      <alignment vertical="center" wrapText="1"/>
    </xf>
    <xf numFmtId="165" fontId="21" fillId="50" borderId="19" xfId="0" applyNumberFormat="1" applyFont="1" applyFill="1" applyBorder="1" applyAlignment="1">
      <alignment horizontal="left" vertical="center"/>
    </xf>
    <xf numFmtId="168" fontId="20" fillId="50" borderId="19" xfId="80" applyNumberFormat="1" applyFont="1" applyFill="1" applyBorder="1" applyAlignment="1">
      <alignment/>
    </xf>
    <xf numFmtId="168" fontId="20" fillId="50" borderId="0" xfId="80" applyNumberFormat="1" applyFont="1" applyFill="1" applyBorder="1" applyAlignment="1">
      <alignment/>
    </xf>
    <xf numFmtId="168" fontId="20" fillId="50" borderId="0" xfId="0" applyNumberFormat="1" applyFont="1" applyFill="1" applyAlignment="1">
      <alignment/>
    </xf>
    <xf numFmtId="0" fontId="21" fillId="50" borderId="19" xfId="0" applyFont="1" applyFill="1" applyBorder="1" applyAlignment="1">
      <alignment horizontal="left" vertical="center" wrapText="1"/>
    </xf>
    <xf numFmtId="0" fontId="21" fillId="50" borderId="0" xfId="0" applyFont="1" applyFill="1" applyAlignment="1">
      <alignment/>
    </xf>
    <xf numFmtId="168" fontId="21" fillId="50" borderId="0" xfId="0" applyNumberFormat="1" applyFont="1" applyFill="1" applyAlignment="1">
      <alignment/>
    </xf>
    <xf numFmtId="0" fontId="23" fillId="50" borderId="19" xfId="0" applyFont="1" applyFill="1" applyBorder="1" applyAlignment="1">
      <alignment horizontal="left" vertical="center" wrapText="1"/>
    </xf>
    <xf numFmtId="0" fontId="31" fillId="50" borderId="19" xfId="0" applyFont="1" applyFill="1" applyBorder="1" applyAlignment="1">
      <alignment horizontal="left" vertical="center" wrapText="1"/>
    </xf>
    <xf numFmtId="165" fontId="29" fillId="50" borderId="19" xfId="0" applyNumberFormat="1" applyFont="1" applyFill="1" applyBorder="1" applyAlignment="1">
      <alignment horizontal="left" vertical="center"/>
    </xf>
    <xf numFmtId="0" fontId="30" fillId="50" borderId="0" xfId="0" applyFont="1" applyFill="1" applyAlignment="1">
      <alignment/>
    </xf>
    <xf numFmtId="0" fontId="21" fillId="50" borderId="19" xfId="0" applyFont="1" applyFill="1" applyBorder="1" applyAlignment="1">
      <alignment horizontal="left" vertical="center"/>
    </xf>
    <xf numFmtId="0" fontId="29" fillId="50" borderId="19" xfId="0" applyFont="1" applyFill="1" applyBorder="1" applyAlignment="1">
      <alignment horizontal="left" vertical="center"/>
    </xf>
    <xf numFmtId="0" fontId="29" fillId="50" borderId="0" xfId="0" applyFont="1" applyFill="1" applyAlignment="1">
      <alignment/>
    </xf>
    <xf numFmtId="0" fontId="21" fillId="50" borderId="19" xfId="0" applyFont="1" applyFill="1" applyBorder="1" applyAlignment="1">
      <alignment horizontal="right" vertical="center"/>
    </xf>
    <xf numFmtId="0" fontId="20" fillId="50" borderId="0" xfId="0" applyFont="1" applyFill="1" applyAlignment="1">
      <alignment horizontal="left" vertical="center"/>
    </xf>
    <xf numFmtId="168" fontId="20" fillId="50" borderId="72" xfId="0" applyNumberFormat="1" applyFont="1" applyFill="1" applyBorder="1" applyAlignment="1">
      <alignment/>
    </xf>
    <xf numFmtId="3" fontId="20" fillId="50" borderId="0" xfId="0" applyNumberFormat="1" applyFont="1" applyFill="1" applyAlignment="1">
      <alignment/>
    </xf>
    <xf numFmtId="164" fontId="20" fillId="50" borderId="0" xfId="0" applyNumberFormat="1" applyFont="1" applyFill="1" applyAlignment="1">
      <alignment/>
    </xf>
    <xf numFmtId="0" fontId="24" fillId="0" borderId="56" xfId="0" applyFont="1" applyFill="1" applyBorder="1" applyAlignment="1">
      <alignment horizontal="center" vertical="center"/>
    </xf>
    <xf numFmtId="168" fontId="24" fillId="0" borderId="73" xfId="80" applyNumberFormat="1" applyFont="1" applyFill="1" applyBorder="1" applyAlignment="1">
      <alignment horizontal="center" vertical="center" wrapText="1"/>
    </xf>
    <xf numFmtId="5" fontId="46" fillId="47" borderId="21" xfId="115" applyNumberFormat="1" applyFont="1" applyFill="1" applyBorder="1" applyAlignment="1">
      <alignment/>
      <protection/>
    </xf>
    <xf numFmtId="5" fontId="46" fillId="47" borderId="49" xfId="115" applyNumberFormat="1" applyFont="1" applyFill="1" applyBorder="1" applyAlignment="1">
      <alignment/>
      <protection/>
    </xf>
    <xf numFmtId="0" fontId="0" fillId="51" borderId="0" xfId="0" applyFill="1" applyAlignment="1">
      <alignment/>
    </xf>
    <xf numFmtId="168" fontId="0" fillId="51" borderId="0" xfId="0" applyNumberFormat="1" applyFill="1" applyAlignment="1">
      <alignment/>
    </xf>
    <xf numFmtId="168" fontId="21" fillId="0" borderId="19" xfId="80" applyNumberFormat="1" applyFont="1" applyFill="1" applyBorder="1" applyAlignment="1">
      <alignment horizontal="right" vertical="center"/>
    </xf>
    <xf numFmtId="0" fontId="24" fillId="52" borderId="0" xfId="0" applyFont="1" applyFill="1" applyAlignment="1">
      <alignment/>
    </xf>
    <xf numFmtId="168" fontId="24" fillId="52" borderId="0" xfId="0" applyNumberFormat="1" applyFont="1" applyFill="1" applyAlignment="1">
      <alignment/>
    </xf>
    <xf numFmtId="164" fontId="21" fillId="0" borderId="19" xfId="123" applyNumberFormat="1" applyFont="1" applyFill="1" applyBorder="1" applyAlignment="1" quotePrefix="1">
      <alignment horizontal="center" vertical="center"/>
      <protection/>
    </xf>
    <xf numFmtId="0" fontId="21" fillId="0" borderId="19" xfId="123" applyFont="1" applyFill="1" applyBorder="1" applyAlignment="1">
      <alignment horizontal="left" vertical="center" wrapText="1"/>
      <protection/>
    </xf>
    <xf numFmtId="165" fontId="21" fillId="0" borderId="19" xfId="123" applyNumberFormat="1" applyFont="1" applyFill="1" applyBorder="1" applyAlignment="1">
      <alignment horizontal="left" vertical="center"/>
      <protection/>
    </xf>
    <xf numFmtId="0" fontId="2" fillId="0" borderId="0" xfId="123" applyFill="1">
      <alignment/>
      <protection/>
    </xf>
    <xf numFmtId="168" fontId="2" fillId="0" borderId="0" xfId="123" applyNumberFormat="1" applyFill="1">
      <alignment/>
      <protection/>
    </xf>
    <xf numFmtId="165" fontId="21" fillId="0" borderId="19" xfId="123" applyNumberFormat="1" applyFont="1" applyFill="1" applyBorder="1" applyAlignment="1">
      <alignment vertical="center"/>
      <protection/>
    </xf>
    <xf numFmtId="0" fontId="24" fillId="53" borderId="0" xfId="0" applyFont="1" applyFill="1" applyAlignment="1">
      <alignment/>
    </xf>
    <xf numFmtId="168" fontId="24" fillId="53" borderId="0" xfId="0" applyNumberFormat="1" applyFont="1" applyFill="1" applyAlignment="1">
      <alignment/>
    </xf>
    <xf numFmtId="168" fontId="20" fillId="53" borderId="0" xfId="0" applyNumberFormat="1" applyFont="1" applyFill="1" applyAlignment="1">
      <alignment/>
    </xf>
    <xf numFmtId="168" fontId="20" fillId="52" borderId="0" xfId="0" applyNumberFormat="1" applyFont="1" applyFill="1" applyAlignment="1">
      <alignment/>
    </xf>
    <xf numFmtId="0" fontId="20" fillId="52" borderId="0" xfId="0" applyFont="1" applyFill="1" applyAlignment="1">
      <alignment/>
    </xf>
    <xf numFmtId="168" fontId="20" fillId="51" borderId="0" xfId="0" applyNumberFormat="1" applyFont="1" applyFill="1" applyAlignment="1">
      <alignment/>
    </xf>
    <xf numFmtId="0" fontId="22" fillId="53" borderId="0" xfId="0" applyFont="1" applyFill="1" applyAlignment="1">
      <alignment/>
    </xf>
    <xf numFmtId="0" fontId="22" fillId="51" borderId="0" xfId="0" applyFont="1" applyFill="1" applyAlignment="1">
      <alignment/>
    </xf>
    <xf numFmtId="168" fontId="22" fillId="0" borderId="19" xfId="89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2" fillId="0" borderId="19" xfId="0" applyFont="1" applyFill="1" applyBorder="1" applyAlignment="1">
      <alignment horizontal="center" vertical="center" wrapText="1"/>
    </xf>
    <xf numFmtId="49" fontId="20" fillId="0" borderId="43" xfId="0" applyNumberFormat="1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168" fontId="94" fillId="0" borderId="19" xfId="80" applyNumberFormat="1" applyFont="1" applyFill="1" applyBorder="1" applyAlignment="1">
      <alignment horizontal="center" vertical="center"/>
    </xf>
    <xf numFmtId="168" fontId="29" fillId="0" borderId="19" xfId="80" applyNumberFormat="1" applyFont="1" applyFill="1" applyBorder="1" applyAlignment="1">
      <alignment horizontal="right" vertical="center"/>
    </xf>
    <xf numFmtId="168" fontId="21" fillId="0" borderId="19" xfId="80" applyNumberFormat="1" applyFont="1" applyFill="1" applyBorder="1" applyAlignment="1">
      <alignment/>
    </xf>
    <xf numFmtId="168" fontId="21" fillId="0" borderId="39" xfId="80" applyNumberFormat="1" applyFont="1" applyFill="1" applyBorder="1" applyAlignment="1">
      <alignment horizontal="right" vertical="center"/>
    </xf>
    <xf numFmtId="168" fontId="29" fillId="0" borderId="39" xfId="80" applyNumberFormat="1" applyFont="1" applyFill="1" applyBorder="1" applyAlignment="1">
      <alignment horizontal="right" vertical="center"/>
    </xf>
    <xf numFmtId="168" fontId="20" fillId="0" borderId="19" xfId="80" applyNumberFormat="1" applyFont="1" applyFill="1" applyBorder="1" applyAlignment="1">
      <alignment/>
    </xf>
    <xf numFmtId="168" fontId="29" fillId="0" borderId="39" xfId="8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right" vertical="center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4" fillId="0" borderId="34" xfId="0" applyFont="1" applyFill="1" applyBorder="1" applyAlignment="1">
      <alignment horizontal="center" vertical="center"/>
    </xf>
    <xf numFmtId="168" fontId="24" fillId="0" borderId="30" xfId="80" applyNumberFormat="1" applyFont="1" applyFill="1" applyBorder="1" applyAlignment="1">
      <alignment horizontal="center" vertical="center" wrapText="1"/>
    </xf>
    <xf numFmtId="168" fontId="24" fillId="0" borderId="35" xfId="80" applyNumberFormat="1" applyFont="1" applyFill="1" applyBorder="1" applyAlignment="1">
      <alignment horizontal="center" vertical="center" wrapText="1"/>
    </xf>
    <xf numFmtId="168" fontId="30" fillId="0" borderId="19" xfId="8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43" xfId="0" applyFont="1" applyFill="1" applyBorder="1" applyAlignment="1">
      <alignment horizontal="center" vertical="center" wrapText="1"/>
    </xf>
    <xf numFmtId="168" fontId="30" fillId="0" borderId="39" xfId="80" applyNumberFormat="1" applyFont="1" applyFill="1" applyBorder="1" applyAlignment="1">
      <alignment/>
    </xf>
    <xf numFmtId="49" fontId="20" fillId="0" borderId="19" xfId="0" applyNumberFormat="1" applyFon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49" fontId="20" fillId="0" borderId="74" xfId="0" applyNumberFormat="1" applyFont="1" applyFill="1" applyBorder="1" applyAlignment="1">
      <alignment horizontal="center" vertical="center" wrapText="1"/>
    </xf>
    <xf numFmtId="49" fontId="20" fillId="0" borderId="43" xfId="0" applyNumberFormat="1" applyFont="1" applyFill="1" applyBorder="1" applyAlignment="1" quotePrefix="1">
      <alignment horizontal="center" vertical="center" wrapText="1"/>
    </xf>
    <xf numFmtId="49" fontId="20" fillId="0" borderId="39" xfId="0" applyNumberFormat="1" applyFont="1" applyFill="1" applyBorder="1" applyAlignment="1" quotePrefix="1">
      <alignment horizontal="center" vertical="center" wrapText="1"/>
    </xf>
    <xf numFmtId="0" fontId="22" fillId="0" borderId="19" xfId="0" applyFont="1" applyFill="1" applyBorder="1" applyAlignment="1" quotePrefix="1">
      <alignment horizontal="center" vertical="center" wrapText="1"/>
    </xf>
    <xf numFmtId="168" fontId="22" fillId="0" borderId="19" xfId="90" applyNumberFormat="1" applyFont="1" applyFill="1" applyBorder="1" applyAlignment="1">
      <alignment horizontal="center" vertical="center" wrapText="1"/>
    </xf>
    <xf numFmtId="49" fontId="20" fillId="0" borderId="41" xfId="0" applyNumberFormat="1" applyFont="1" applyFill="1" applyBorder="1" applyAlignment="1">
      <alignment horizontal="center" vertical="center" wrapText="1"/>
    </xf>
    <xf numFmtId="168" fontId="21" fillId="0" borderId="43" xfId="80" applyNumberFormat="1" applyFont="1" applyFill="1" applyBorder="1" applyAlignment="1">
      <alignment horizontal="right" vertical="center"/>
    </xf>
    <xf numFmtId="168" fontId="20" fillId="0" borderId="43" xfId="80" applyNumberFormat="1" applyFont="1" applyFill="1" applyBorder="1" applyAlignment="1">
      <alignment/>
    </xf>
    <xf numFmtId="168" fontId="21" fillId="0" borderId="43" xfId="80" applyNumberFormat="1" applyFont="1" applyFill="1" applyBorder="1" applyAlignment="1">
      <alignment/>
    </xf>
    <xf numFmtId="168" fontId="29" fillId="0" borderId="43" xfId="80" applyNumberFormat="1" applyFont="1" applyFill="1" applyBorder="1" applyAlignment="1">
      <alignment horizontal="right" vertical="center"/>
    </xf>
    <xf numFmtId="168" fontId="30" fillId="0" borderId="43" xfId="80" applyNumberFormat="1" applyFont="1" applyFill="1" applyBorder="1" applyAlignment="1">
      <alignment/>
    </xf>
    <xf numFmtId="168" fontId="30" fillId="0" borderId="38" xfId="80" applyNumberFormat="1" applyFont="1" applyFill="1" applyBorder="1" applyAlignment="1">
      <alignment/>
    </xf>
    <xf numFmtId="168" fontId="29" fillId="0" borderId="19" xfId="80" applyNumberFormat="1" applyFont="1" applyFill="1" applyBorder="1" applyAlignment="1">
      <alignment/>
    </xf>
    <xf numFmtId="168" fontId="21" fillId="0" borderId="19" xfId="80" applyNumberFormat="1" applyFont="1" applyFill="1" applyBorder="1" applyAlignment="1">
      <alignment horizontal="center" vertical="center"/>
    </xf>
    <xf numFmtId="168" fontId="21" fillId="0" borderId="43" xfId="80" applyNumberFormat="1" applyFont="1" applyFill="1" applyBorder="1" applyAlignment="1">
      <alignment horizontal="center" vertical="center"/>
    </xf>
    <xf numFmtId="164" fontId="21" fillId="0" borderId="19" xfId="124" applyNumberFormat="1" applyFont="1" applyFill="1" applyBorder="1" applyAlignment="1" quotePrefix="1">
      <alignment horizontal="center" vertical="center"/>
      <protection/>
    </xf>
    <xf numFmtId="0" fontId="21" fillId="0" borderId="19" xfId="124" applyFont="1" applyFill="1" applyBorder="1" applyAlignment="1">
      <alignment vertical="center" wrapText="1"/>
      <protection/>
    </xf>
    <xf numFmtId="165" fontId="21" fillId="0" borderId="19" xfId="124" applyNumberFormat="1" applyFont="1" applyFill="1" applyBorder="1" applyAlignment="1">
      <alignment vertical="center"/>
      <protection/>
    </xf>
    <xf numFmtId="168" fontId="22" fillId="0" borderId="19" xfId="90" applyNumberFormat="1" applyFont="1" applyFill="1" applyBorder="1" applyAlignment="1">
      <alignment vertical="center"/>
    </xf>
    <xf numFmtId="0" fontId="21" fillId="0" borderId="19" xfId="124" applyFont="1" applyFill="1" applyBorder="1" applyAlignment="1">
      <alignment horizontal="left" vertical="center" wrapText="1"/>
      <protection/>
    </xf>
    <xf numFmtId="0" fontId="24" fillId="47" borderId="32" xfId="0" applyFont="1" applyFill="1" applyBorder="1" applyAlignment="1" quotePrefix="1">
      <alignment horizontal="center" vertical="center" wrapText="1"/>
    </xf>
    <xf numFmtId="0" fontId="25" fillId="53" borderId="0" xfId="0" applyFont="1" applyFill="1" applyAlignment="1">
      <alignment/>
    </xf>
    <xf numFmtId="168" fontId="25" fillId="53" borderId="0" xfId="0" applyNumberFormat="1" applyFont="1" applyFill="1" applyAlignment="1">
      <alignment/>
    </xf>
    <xf numFmtId="0" fontId="24" fillId="50" borderId="0" xfId="0" applyFont="1" applyFill="1" applyAlignment="1">
      <alignment/>
    </xf>
    <xf numFmtId="168" fontId="21" fillId="50" borderId="19" xfId="80" applyNumberFormat="1" applyFont="1" applyFill="1" applyBorder="1" applyAlignment="1">
      <alignment horizontal="right" vertical="center"/>
    </xf>
    <xf numFmtId="0" fontId="24" fillId="50" borderId="0" xfId="0" applyFont="1" applyFill="1" applyAlignment="1">
      <alignment vertical="center"/>
    </xf>
    <xf numFmtId="0" fontId="24" fillId="50" borderId="0" xfId="0" applyFont="1" applyFill="1" applyAlignment="1">
      <alignment horizontal="right"/>
    </xf>
    <xf numFmtId="0" fontId="24" fillId="50" borderId="46" xfId="0" applyFont="1" applyFill="1" applyBorder="1" applyAlignment="1">
      <alignment horizontal="center" vertical="center"/>
    </xf>
    <xf numFmtId="0" fontId="24" fillId="50" borderId="44" xfId="0" applyFont="1" applyFill="1" applyBorder="1" applyAlignment="1">
      <alignment horizontal="center" vertical="center"/>
    </xf>
    <xf numFmtId="0" fontId="24" fillId="50" borderId="45" xfId="0" applyFont="1" applyFill="1" applyBorder="1" applyAlignment="1">
      <alignment horizontal="center" vertical="center"/>
    </xf>
    <xf numFmtId="0" fontId="24" fillId="50" borderId="22" xfId="0" applyFont="1" applyFill="1" applyBorder="1" applyAlignment="1">
      <alignment horizontal="left" vertical="center"/>
    </xf>
    <xf numFmtId="0" fontId="24" fillId="50" borderId="23" xfId="0" applyFont="1" applyFill="1" applyBorder="1" applyAlignment="1">
      <alignment horizontal="center" vertical="center"/>
    </xf>
    <xf numFmtId="168" fontId="24" fillId="50" borderId="23" xfId="80" applyNumberFormat="1" applyFont="1" applyFill="1" applyBorder="1" applyAlignment="1">
      <alignment horizontal="center" vertical="center"/>
    </xf>
    <xf numFmtId="168" fontId="24" fillId="50" borderId="36" xfId="80" applyNumberFormat="1" applyFont="1" applyFill="1" applyBorder="1" applyAlignment="1">
      <alignment/>
    </xf>
    <xf numFmtId="0" fontId="24" fillId="50" borderId="53" xfId="0" applyFont="1" applyFill="1" applyBorder="1" applyAlignment="1">
      <alignment horizontal="center" vertical="center"/>
    </xf>
    <xf numFmtId="0" fontId="24" fillId="50" borderId="28" xfId="0" applyFont="1" applyFill="1" applyBorder="1" applyAlignment="1">
      <alignment horizontal="center" vertical="center"/>
    </xf>
    <xf numFmtId="0" fontId="24" fillId="50" borderId="28" xfId="0" applyFont="1" applyFill="1" applyBorder="1" applyAlignment="1">
      <alignment horizontal="left" vertical="center" wrapText="1"/>
    </xf>
    <xf numFmtId="168" fontId="24" fillId="50" borderId="28" xfId="80" applyNumberFormat="1" applyFont="1" applyFill="1" applyBorder="1" applyAlignment="1">
      <alignment horizontal="center" vertical="center"/>
    </xf>
    <xf numFmtId="168" fontId="24" fillId="50" borderId="63" xfId="80" applyNumberFormat="1" applyFont="1" applyFill="1" applyBorder="1" applyAlignment="1">
      <alignment horizontal="center" vertical="center"/>
    </xf>
    <xf numFmtId="168" fontId="24" fillId="50" borderId="53" xfId="80" applyNumberFormat="1" applyFont="1" applyFill="1" applyBorder="1" applyAlignment="1">
      <alignment vertical="center"/>
    </xf>
    <xf numFmtId="168" fontId="24" fillId="50" borderId="28" xfId="80" applyNumberFormat="1" applyFont="1" applyFill="1" applyBorder="1" applyAlignment="1">
      <alignment/>
    </xf>
    <xf numFmtId="168" fontId="24" fillId="50" borderId="48" xfId="80" applyNumberFormat="1" applyFont="1" applyFill="1" applyBorder="1" applyAlignment="1">
      <alignment/>
    </xf>
    <xf numFmtId="168" fontId="24" fillId="50" borderId="36" xfId="80" applyNumberFormat="1" applyFont="1" applyFill="1" applyBorder="1" applyAlignment="1">
      <alignment horizontal="center" vertical="center"/>
    </xf>
    <xf numFmtId="168" fontId="24" fillId="50" borderId="57" xfId="80" applyNumberFormat="1" applyFont="1" applyFill="1" applyBorder="1" applyAlignment="1">
      <alignment horizontal="center" vertical="center"/>
    </xf>
    <xf numFmtId="49" fontId="24" fillId="50" borderId="34" xfId="0" applyNumberFormat="1" applyFont="1" applyFill="1" applyBorder="1" applyAlignment="1" quotePrefix="1">
      <alignment horizontal="center" vertical="center"/>
    </xf>
    <xf numFmtId="49" fontId="24" fillId="50" borderId="75" xfId="0" applyNumberFormat="1" applyFont="1" applyFill="1" applyBorder="1" applyAlignment="1" quotePrefix="1">
      <alignment horizontal="center" vertical="center"/>
    </xf>
    <xf numFmtId="0" fontId="22" fillId="50" borderId="30" xfId="0" applyFont="1" applyFill="1" applyBorder="1" applyAlignment="1">
      <alignment vertical="center" wrapText="1"/>
    </xf>
    <xf numFmtId="0" fontId="24" fillId="50" borderId="59" xfId="0" applyFont="1" applyFill="1" applyBorder="1" applyAlignment="1">
      <alignment horizontal="center" vertical="center"/>
    </xf>
    <xf numFmtId="168" fontId="24" fillId="50" borderId="30" xfId="80" applyNumberFormat="1" applyFont="1" applyFill="1" applyBorder="1" applyAlignment="1">
      <alignment horizontal="center" vertical="center"/>
    </xf>
    <xf numFmtId="168" fontId="24" fillId="50" borderId="35" xfId="80" applyNumberFormat="1" applyFont="1" applyFill="1" applyBorder="1" applyAlignment="1">
      <alignment horizontal="center" vertical="center"/>
    </xf>
    <xf numFmtId="168" fontId="24" fillId="50" borderId="73" xfId="80" applyNumberFormat="1" applyFont="1" applyFill="1" applyBorder="1" applyAlignment="1">
      <alignment vertical="center"/>
    </xf>
    <xf numFmtId="168" fontId="24" fillId="50" borderId="30" xfId="80" applyNumberFormat="1" applyFont="1" applyFill="1" applyBorder="1" applyAlignment="1">
      <alignment/>
    </xf>
    <xf numFmtId="168" fontId="24" fillId="50" borderId="48" xfId="80" applyNumberFormat="1" applyFont="1" applyFill="1" applyBorder="1" applyAlignment="1">
      <alignment horizontal="center" vertical="center"/>
    </xf>
    <xf numFmtId="49" fontId="24" fillId="50" borderId="37" xfId="0" applyNumberFormat="1" applyFont="1" applyFill="1" applyBorder="1" applyAlignment="1" quotePrefix="1">
      <alignment horizontal="center" vertical="center"/>
    </xf>
    <xf numFmtId="49" fontId="24" fillId="50" borderId="52" xfId="0" applyNumberFormat="1" applyFont="1" applyFill="1" applyBorder="1" applyAlignment="1" quotePrefix="1">
      <alignment horizontal="center" vertical="center"/>
    </xf>
    <xf numFmtId="0" fontId="22" fillId="50" borderId="21" xfId="0" applyFont="1" applyFill="1" applyBorder="1" applyAlignment="1">
      <alignment vertical="center" wrapText="1"/>
    </xf>
    <xf numFmtId="0" fontId="24" fillId="50" borderId="58" xfId="0" applyFont="1" applyFill="1" applyBorder="1" applyAlignment="1">
      <alignment horizontal="center" vertical="center"/>
    </xf>
    <xf numFmtId="168" fontId="24" fillId="50" borderId="21" xfId="80" applyNumberFormat="1" applyFont="1" applyFill="1" applyBorder="1" applyAlignment="1">
      <alignment horizontal="center" vertical="center"/>
    </xf>
    <xf numFmtId="168" fontId="24" fillId="50" borderId="49" xfId="80" applyNumberFormat="1" applyFont="1" applyFill="1" applyBorder="1" applyAlignment="1">
      <alignment horizontal="center" vertical="center"/>
    </xf>
    <xf numFmtId="168" fontId="24" fillId="50" borderId="21" xfId="80" applyNumberFormat="1" applyFont="1" applyFill="1" applyBorder="1" applyAlignment="1">
      <alignment/>
    </xf>
    <xf numFmtId="49" fontId="24" fillId="50" borderId="76" xfId="0" applyNumberFormat="1" applyFont="1" applyFill="1" applyBorder="1" applyAlignment="1" quotePrefix="1">
      <alignment horizontal="center" vertical="center"/>
    </xf>
    <xf numFmtId="49" fontId="24" fillId="50" borderId="21" xfId="0" applyNumberFormat="1" applyFont="1" applyFill="1" applyBorder="1" applyAlignment="1" quotePrefix="1">
      <alignment horizontal="center" vertical="center"/>
    </xf>
    <xf numFmtId="0" fontId="24" fillId="50" borderId="21" xfId="0" applyFont="1" applyFill="1" applyBorder="1" applyAlignment="1">
      <alignment horizontal="center" vertical="center"/>
    </xf>
    <xf numFmtId="49" fontId="24" fillId="50" borderId="77" xfId="0" applyNumberFormat="1" applyFont="1" applyFill="1" applyBorder="1" applyAlignment="1" quotePrefix="1">
      <alignment horizontal="center" vertical="center"/>
    </xf>
    <xf numFmtId="0" fontId="24" fillId="50" borderId="73" xfId="0" applyFont="1" applyFill="1" applyBorder="1" applyAlignment="1">
      <alignment horizontal="center" vertical="center"/>
    </xf>
    <xf numFmtId="49" fontId="24" fillId="50" borderId="63" xfId="0" applyNumberFormat="1" applyFont="1" applyFill="1" applyBorder="1" applyAlignment="1" quotePrefix="1">
      <alignment horizontal="center" vertical="center"/>
    </xf>
    <xf numFmtId="168" fontId="24" fillId="50" borderId="58" xfId="80" applyNumberFormat="1" applyFont="1" applyFill="1" applyBorder="1" applyAlignment="1">
      <alignment vertical="center"/>
    </xf>
    <xf numFmtId="0" fontId="24" fillId="50" borderId="70" xfId="0" applyFont="1" applyFill="1" applyBorder="1" applyAlignment="1">
      <alignment horizontal="center" vertical="center"/>
    </xf>
    <xf numFmtId="168" fontId="24" fillId="50" borderId="27" xfId="80" applyNumberFormat="1" applyFont="1" applyFill="1" applyBorder="1" applyAlignment="1">
      <alignment horizontal="center" vertical="center"/>
    </xf>
    <xf numFmtId="168" fontId="24" fillId="50" borderId="47" xfId="80" applyNumberFormat="1" applyFont="1" applyFill="1" applyBorder="1" applyAlignment="1">
      <alignment horizontal="center" vertical="center"/>
    </xf>
    <xf numFmtId="168" fontId="24" fillId="50" borderId="70" xfId="80" applyNumberFormat="1" applyFont="1" applyFill="1" applyBorder="1" applyAlignment="1">
      <alignment vertical="center"/>
    </xf>
    <xf numFmtId="168" fontId="24" fillId="50" borderId="27" xfId="80" applyNumberFormat="1" applyFont="1" applyFill="1" applyBorder="1" applyAlignment="1">
      <alignment/>
    </xf>
    <xf numFmtId="0" fontId="25" fillId="50" borderId="50" xfId="0" applyFont="1" applyFill="1" applyBorder="1" applyAlignment="1">
      <alignment vertical="center"/>
    </xf>
    <xf numFmtId="0" fontId="23" fillId="50" borderId="68" xfId="0" applyFont="1" applyFill="1" applyBorder="1" applyAlignment="1">
      <alignment vertical="center"/>
    </xf>
    <xf numFmtId="0" fontId="23" fillId="50" borderId="44" xfId="0" applyFont="1" applyFill="1" applyBorder="1" applyAlignment="1">
      <alignment vertical="center"/>
    </xf>
    <xf numFmtId="168" fontId="23" fillId="50" borderId="44" xfId="80" applyNumberFormat="1" applyFont="1" applyFill="1" applyBorder="1" applyAlignment="1">
      <alignment vertical="center"/>
    </xf>
    <xf numFmtId="168" fontId="23" fillId="50" borderId="45" xfId="80" applyNumberFormat="1" applyFont="1" applyFill="1" applyBorder="1" applyAlignment="1">
      <alignment vertical="center"/>
    </xf>
    <xf numFmtId="168" fontId="23" fillId="50" borderId="46" xfId="80" applyNumberFormat="1" applyFont="1" applyFill="1" applyBorder="1" applyAlignment="1">
      <alignment vertical="center"/>
    </xf>
    <xf numFmtId="0" fontId="24" fillId="50" borderId="0" xfId="0" applyFont="1" applyFill="1" applyBorder="1" applyAlignment="1">
      <alignment horizontal="center" vertical="center"/>
    </xf>
    <xf numFmtId="168" fontId="24" fillId="50" borderId="0" xfId="80" applyNumberFormat="1" applyFont="1" applyFill="1" applyBorder="1" applyAlignment="1">
      <alignment horizontal="center" vertical="center"/>
    </xf>
    <xf numFmtId="168" fontId="24" fillId="50" borderId="0" xfId="80" applyNumberFormat="1" applyFont="1" applyFill="1" applyBorder="1" applyAlignment="1">
      <alignment vertical="center"/>
    </xf>
    <xf numFmtId="168" fontId="24" fillId="50" borderId="0" xfId="80" applyNumberFormat="1" applyFont="1" applyFill="1" applyBorder="1" applyAlignment="1">
      <alignment/>
    </xf>
    <xf numFmtId="0" fontId="24" fillId="50" borderId="0" xfId="0" applyFont="1" applyFill="1" applyBorder="1" applyAlignment="1">
      <alignment/>
    </xf>
    <xf numFmtId="0" fontId="24" fillId="50" borderId="0" xfId="0" applyFont="1" applyFill="1" applyBorder="1" applyAlignment="1">
      <alignment vertical="center"/>
    </xf>
    <xf numFmtId="0" fontId="25" fillId="50" borderId="0" xfId="0" applyFont="1" applyFill="1" applyAlignment="1">
      <alignment/>
    </xf>
    <xf numFmtId="0" fontId="25" fillId="50" borderId="0" xfId="0" applyFont="1" applyFill="1" applyAlignment="1">
      <alignment vertical="center"/>
    </xf>
    <xf numFmtId="0" fontId="23" fillId="50" borderId="0" xfId="0" applyFont="1" applyFill="1" applyAlignment="1">
      <alignment/>
    </xf>
    <xf numFmtId="0" fontId="23" fillId="50" borderId="0" xfId="0" applyFont="1" applyFill="1" applyAlignment="1">
      <alignment vertical="center"/>
    </xf>
    <xf numFmtId="0" fontId="22" fillId="50" borderId="19" xfId="0" applyFont="1" applyFill="1" applyBorder="1" applyAlignment="1">
      <alignment horizontal="center" vertical="center" wrapText="1"/>
    </xf>
    <xf numFmtId="0" fontId="74" fillId="48" borderId="21" xfId="115" applyFill="1" applyBorder="1" applyAlignment="1">
      <alignment horizontal="center"/>
      <protection/>
    </xf>
    <xf numFmtId="189" fontId="44" fillId="47" borderId="21" xfId="115" applyNumberFormat="1" applyFont="1" applyFill="1" applyBorder="1" applyAlignment="1">
      <alignment horizontal="right" vertical="center" wrapText="1"/>
      <protection/>
    </xf>
    <xf numFmtId="189" fontId="44" fillId="47" borderId="58" xfId="115" applyNumberFormat="1" applyFont="1" applyFill="1" applyBorder="1" applyAlignment="1">
      <alignment horizontal="right" vertical="center" wrapText="1"/>
      <protection/>
    </xf>
    <xf numFmtId="0" fontId="0" fillId="48" borderId="37" xfId="115" applyFont="1" applyFill="1" applyBorder="1">
      <alignment/>
      <protection/>
    </xf>
    <xf numFmtId="0" fontId="0" fillId="48" borderId="21" xfId="115" applyFont="1" applyFill="1" applyBorder="1">
      <alignment/>
      <protection/>
    </xf>
    <xf numFmtId="0" fontId="0" fillId="48" borderId="25" xfId="115" applyFont="1" applyFill="1" applyBorder="1">
      <alignment/>
      <protection/>
    </xf>
    <xf numFmtId="0" fontId="1" fillId="0" borderId="58" xfId="115" applyFont="1" applyBorder="1">
      <alignment/>
      <protection/>
    </xf>
    <xf numFmtId="189" fontId="44" fillId="47" borderId="21" xfId="115" applyNumberFormat="1" applyFont="1" applyFill="1" applyBorder="1" applyAlignment="1">
      <alignment horizontal="right" vertical="center" wrapText="1"/>
      <protection/>
    </xf>
    <xf numFmtId="0" fontId="1" fillId="0" borderId="70" xfId="115" applyFont="1" applyBorder="1">
      <alignment/>
      <protection/>
    </xf>
    <xf numFmtId="190" fontId="44" fillId="47" borderId="21" xfId="115" applyNumberFormat="1" applyFont="1" applyFill="1" applyBorder="1" applyAlignment="1">
      <alignment horizontal="right" vertical="center" wrapText="1"/>
      <protection/>
    </xf>
    <xf numFmtId="0" fontId="20" fillId="50" borderId="0" xfId="0" applyFont="1" applyFill="1" applyAlignment="1">
      <alignment horizontal="right"/>
    </xf>
    <xf numFmtId="49" fontId="20" fillId="50" borderId="43" xfId="0" applyNumberFormat="1" applyFont="1" applyFill="1" applyBorder="1" applyAlignment="1">
      <alignment horizontal="center" vertical="center" wrapText="1"/>
    </xf>
    <xf numFmtId="168" fontId="29" fillId="50" borderId="19" xfId="80" applyNumberFormat="1" applyFont="1" applyFill="1" applyBorder="1" applyAlignment="1">
      <alignment horizontal="right" vertical="center"/>
    </xf>
    <xf numFmtId="168" fontId="21" fillId="50" borderId="19" xfId="80" applyNumberFormat="1" applyFont="1" applyFill="1" applyBorder="1" applyAlignment="1">
      <alignment/>
    </xf>
    <xf numFmtId="168" fontId="21" fillId="50" borderId="39" xfId="80" applyNumberFormat="1" applyFont="1" applyFill="1" applyBorder="1" applyAlignment="1">
      <alignment horizontal="right" vertical="center"/>
    </xf>
    <xf numFmtId="168" fontId="29" fillId="50" borderId="39" xfId="80" applyNumberFormat="1" applyFont="1" applyFill="1" applyBorder="1" applyAlignment="1">
      <alignment horizontal="right" vertical="center"/>
    </xf>
    <xf numFmtId="168" fontId="29" fillId="50" borderId="39" xfId="80" applyNumberFormat="1" applyFont="1" applyFill="1" applyBorder="1" applyAlignment="1">
      <alignment/>
    </xf>
    <xf numFmtId="3" fontId="21" fillId="50" borderId="19" xfId="0" applyNumberFormat="1" applyFont="1" applyFill="1" applyBorder="1" applyAlignment="1">
      <alignment horizontal="right" vertical="center"/>
    </xf>
    <xf numFmtId="168" fontId="24" fillId="0" borderId="47" xfId="8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51" fillId="47" borderId="78" xfId="119" applyFont="1" applyFill="1" applyBorder="1" applyAlignment="1">
      <alignment/>
      <protection/>
    </xf>
    <xf numFmtId="0" fontId="51" fillId="47" borderId="0" xfId="119" applyFont="1" applyFill="1" applyBorder="1" applyAlignment="1">
      <alignment/>
      <protection/>
    </xf>
    <xf numFmtId="0" fontId="24" fillId="47" borderId="0" xfId="119" applyFont="1" applyFill="1">
      <alignment/>
      <protection/>
    </xf>
    <xf numFmtId="0" fontId="50" fillId="47" borderId="79" xfId="119" applyFont="1" applyFill="1" applyBorder="1" applyAlignment="1">
      <alignment horizontal="center" vertical="center" textRotation="90"/>
      <protection/>
    </xf>
    <xf numFmtId="0" fontId="50" fillId="47" borderId="80" xfId="119" applyFont="1" applyFill="1" applyBorder="1" applyAlignment="1">
      <alignment horizontal="center" vertical="center" wrapText="1"/>
      <protection/>
    </xf>
    <xf numFmtId="0" fontId="50" fillId="47" borderId="81" xfId="119" applyFont="1" applyFill="1" applyBorder="1" applyAlignment="1">
      <alignment horizontal="center" vertical="center" wrapText="1"/>
      <protection/>
    </xf>
    <xf numFmtId="0" fontId="50" fillId="47" borderId="82" xfId="119" applyFont="1" applyFill="1" applyBorder="1" applyAlignment="1">
      <alignment horizontal="center" vertical="center" wrapText="1"/>
      <protection/>
    </xf>
    <xf numFmtId="0" fontId="24" fillId="47" borderId="83" xfId="0" applyFont="1" applyFill="1" applyBorder="1" applyAlignment="1">
      <alignment horizontal="center" vertical="center" wrapText="1"/>
    </xf>
    <xf numFmtId="0" fontId="50" fillId="47" borderId="19" xfId="119" applyFont="1" applyFill="1" applyBorder="1" applyAlignment="1">
      <alignment horizontal="center" vertical="center" wrapText="1"/>
      <protection/>
    </xf>
    <xf numFmtId="0" fontId="50" fillId="47" borderId="84" xfId="119" applyFont="1" applyFill="1" applyBorder="1" applyAlignment="1">
      <alignment horizontal="center" vertical="center"/>
      <protection/>
    </xf>
    <xf numFmtId="167" fontId="52" fillId="47" borderId="85" xfId="83" applyNumberFormat="1" applyFont="1" applyFill="1" applyBorder="1" applyAlignment="1" applyProtection="1">
      <alignment vertical="center"/>
      <protection/>
    </xf>
    <xf numFmtId="167" fontId="52" fillId="47" borderId="28" xfId="83" applyNumberFormat="1" applyFont="1" applyFill="1" applyBorder="1" applyAlignment="1" applyProtection="1">
      <alignment vertical="center"/>
      <protection/>
    </xf>
    <xf numFmtId="167" fontId="24" fillId="47" borderId="28" xfId="83" applyNumberFormat="1" applyFont="1" applyFill="1" applyBorder="1" applyAlignment="1" applyProtection="1">
      <alignment vertical="center"/>
      <protection/>
    </xf>
    <xf numFmtId="167" fontId="52" fillId="47" borderId="86" xfId="83" applyNumberFormat="1" applyFont="1" applyFill="1" applyBorder="1" applyAlignment="1" applyProtection="1">
      <alignment vertical="center"/>
      <protection/>
    </xf>
    <xf numFmtId="167" fontId="52" fillId="47" borderId="87" xfId="83" applyNumberFormat="1" applyFont="1" applyFill="1" applyBorder="1" applyAlignment="1" applyProtection="1">
      <alignment vertical="center"/>
      <protection/>
    </xf>
    <xf numFmtId="0" fontId="50" fillId="47" borderId="88" xfId="119" applyFont="1" applyFill="1" applyBorder="1" applyAlignment="1">
      <alignment horizontal="center" vertical="center"/>
      <protection/>
    </xf>
    <xf numFmtId="167" fontId="52" fillId="47" borderId="89" xfId="83" applyNumberFormat="1" applyFont="1" applyFill="1" applyBorder="1" applyAlignment="1" applyProtection="1">
      <alignment vertical="center"/>
      <protection/>
    </xf>
    <xf numFmtId="167" fontId="52" fillId="47" borderId="21" xfId="83" applyNumberFormat="1" applyFont="1" applyFill="1" applyBorder="1" applyAlignment="1" applyProtection="1">
      <alignment vertical="center"/>
      <protection/>
    </xf>
    <xf numFmtId="167" fontId="52" fillId="47" borderId="90" xfId="83" applyNumberFormat="1" applyFont="1" applyFill="1" applyBorder="1" applyAlignment="1" applyProtection="1">
      <alignment vertical="center"/>
      <protection/>
    </xf>
    <xf numFmtId="167" fontId="52" fillId="47" borderId="91" xfId="83" applyNumberFormat="1" applyFont="1" applyFill="1" applyBorder="1" applyAlignment="1" applyProtection="1">
      <alignment vertical="center"/>
      <protection/>
    </xf>
    <xf numFmtId="0" fontId="50" fillId="47" borderId="92" xfId="119" applyFont="1" applyFill="1" applyBorder="1" applyAlignment="1">
      <alignment horizontal="center" vertical="center"/>
      <protection/>
    </xf>
    <xf numFmtId="167" fontId="52" fillId="47" borderId="93" xfId="83" applyNumberFormat="1" applyFont="1" applyFill="1" applyBorder="1" applyAlignment="1" applyProtection="1">
      <alignment vertical="center"/>
      <protection/>
    </xf>
    <xf numFmtId="167" fontId="52" fillId="47" borderId="25" xfId="83" applyNumberFormat="1" applyFont="1" applyFill="1" applyBorder="1" applyAlignment="1" applyProtection="1">
      <alignment vertical="center"/>
      <protection/>
    </xf>
    <xf numFmtId="167" fontId="52" fillId="47" borderId="94" xfId="83" applyNumberFormat="1" applyFont="1" applyFill="1" applyBorder="1" applyAlignment="1" applyProtection="1">
      <alignment vertical="center"/>
      <protection/>
    </xf>
    <xf numFmtId="167" fontId="52" fillId="47" borderId="95" xfId="83" applyNumberFormat="1" applyFont="1" applyFill="1" applyBorder="1" applyAlignment="1" applyProtection="1">
      <alignment vertical="center"/>
      <protection/>
    </xf>
    <xf numFmtId="167" fontId="51" fillId="47" borderId="96" xfId="119" applyNumberFormat="1" applyFont="1" applyFill="1" applyBorder="1" applyAlignment="1">
      <alignment horizontal="left"/>
      <protection/>
    </xf>
    <xf numFmtId="167" fontId="51" fillId="47" borderId="97" xfId="119" applyNumberFormat="1" applyFont="1" applyFill="1" applyBorder="1" applyAlignment="1">
      <alignment horizontal="left"/>
      <protection/>
    </xf>
    <xf numFmtId="167" fontId="51" fillId="47" borderId="98" xfId="119" applyNumberFormat="1" applyFont="1" applyFill="1" applyBorder="1" applyAlignment="1">
      <alignment horizontal="left"/>
      <protection/>
    </xf>
    <xf numFmtId="0" fontId="50" fillId="47" borderId="99" xfId="119" applyFont="1" applyFill="1" applyBorder="1" applyAlignment="1">
      <alignment horizontal="center"/>
      <protection/>
    </xf>
    <xf numFmtId="0" fontId="50" fillId="47" borderId="99" xfId="119" applyFont="1" applyFill="1" applyBorder="1" applyAlignment="1">
      <alignment horizontal="left"/>
      <protection/>
    </xf>
    <xf numFmtId="167" fontId="50" fillId="47" borderId="0" xfId="119" applyNumberFormat="1" applyFont="1" applyFill="1" applyBorder="1" applyAlignment="1">
      <alignment horizontal="left"/>
      <protection/>
    </xf>
    <xf numFmtId="0" fontId="50" fillId="47" borderId="0" xfId="119" applyFont="1" applyFill="1" applyBorder="1" applyAlignment="1">
      <alignment/>
      <protection/>
    </xf>
    <xf numFmtId="0" fontId="51" fillId="47" borderId="100" xfId="119" applyFont="1" applyFill="1" applyBorder="1" applyAlignment="1">
      <alignment/>
      <protection/>
    </xf>
    <xf numFmtId="0" fontId="50" fillId="47" borderId="0" xfId="119" applyFont="1" applyFill="1" applyBorder="1" applyAlignment="1">
      <alignment horizontal="left"/>
      <protection/>
    </xf>
    <xf numFmtId="0" fontId="51" fillId="47" borderId="20" xfId="119" applyFont="1" applyFill="1" applyBorder="1" applyAlignment="1">
      <alignment/>
      <protection/>
    </xf>
    <xf numFmtId="0" fontId="50" fillId="47" borderId="19" xfId="119" applyFont="1" applyFill="1" applyBorder="1" applyAlignment="1">
      <alignment horizontal="center" vertical="center" textRotation="90"/>
      <protection/>
    </xf>
    <xf numFmtId="0" fontId="24" fillId="47" borderId="75" xfId="0" applyFont="1" applyFill="1" applyBorder="1" applyAlignment="1">
      <alignment horizontal="center" vertical="center" wrapText="1"/>
    </xf>
    <xf numFmtId="0" fontId="24" fillId="47" borderId="101" xfId="0" applyFont="1" applyFill="1" applyBorder="1" applyAlignment="1">
      <alignment/>
    </xf>
    <xf numFmtId="0" fontId="50" fillId="47" borderId="19" xfId="119" applyFont="1" applyFill="1" applyBorder="1" applyAlignment="1">
      <alignment horizontal="center" wrapText="1"/>
      <protection/>
    </xf>
    <xf numFmtId="0" fontId="50" fillId="47" borderId="34" xfId="119" applyFont="1" applyFill="1" applyBorder="1" applyAlignment="1">
      <alignment horizontal="center" vertical="center"/>
      <protection/>
    </xf>
    <xf numFmtId="167" fontId="52" fillId="47" borderId="34" xfId="83" applyNumberFormat="1" applyFont="1" applyFill="1" applyBorder="1" applyAlignment="1" applyProtection="1">
      <alignment vertical="center"/>
      <protection/>
    </xf>
    <xf numFmtId="167" fontId="52" fillId="47" borderId="30" xfId="83" applyNumberFormat="1" applyFont="1" applyFill="1" applyBorder="1" applyAlignment="1" applyProtection="1">
      <alignment vertical="center"/>
      <protection/>
    </xf>
    <xf numFmtId="167" fontId="24" fillId="0" borderId="30" xfId="83" applyNumberFormat="1" applyFont="1" applyFill="1" applyBorder="1" applyAlignment="1">
      <alignment horizontal="right"/>
    </xf>
    <xf numFmtId="167" fontId="52" fillId="47" borderId="35" xfId="83" applyNumberFormat="1" applyFont="1" applyFill="1" applyBorder="1" applyAlignment="1" applyProtection="1">
      <alignment vertical="center"/>
      <protection/>
    </xf>
    <xf numFmtId="0" fontId="50" fillId="47" borderId="37" xfId="119" applyFont="1" applyFill="1" applyBorder="1" applyAlignment="1">
      <alignment horizontal="center" vertical="center"/>
      <protection/>
    </xf>
    <xf numFmtId="167" fontId="52" fillId="47" borderId="37" xfId="83" applyNumberFormat="1" applyFont="1" applyFill="1" applyBorder="1" applyAlignment="1" applyProtection="1">
      <alignment vertical="center"/>
      <protection/>
    </xf>
    <xf numFmtId="167" fontId="24" fillId="0" borderId="21" xfId="83" applyNumberFormat="1" applyFont="1" applyFill="1" applyBorder="1" applyAlignment="1">
      <alignment horizontal="right"/>
    </xf>
    <xf numFmtId="167" fontId="52" fillId="47" borderId="49" xfId="83" applyNumberFormat="1" applyFont="1" applyFill="1" applyBorder="1" applyAlignment="1" applyProtection="1">
      <alignment vertical="center"/>
      <protection/>
    </xf>
    <xf numFmtId="0" fontId="50" fillId="47" borderId="24" xfId="119" applyFont="1" applyFill="1" applyBorder="1" applyAlignment="1">
      <alignment horizontal="center" vertical="center"/>
      <protection/>
    </xf>
    <xf numFmtId="167" fontId="52" fillId="47" borderId="24" xfId="83" applyNumberFormat="1" applyFont="1" applyFill="1" applyBorder="1" applyAlignment="1" applyProtection="1">
      <alignment vertical="center"/>
      <protection/>
    </xf>
    <xf numFmtId="167" fontId="24" fillId="0" borderId="25" xfId="83" applyNumberFormat="1" applyFont="1" applyFill="1" applyBorder="1" applyAlignment="1">
      <alignment horizontal="right"/>
    </xf>
    <xf numFmtId="167" fontId="52" fillId="47" borderId="26" xfId="83" applyNumberFormat="1" applyFont="1" applyFill="1" applyBorder="1" applyAlignment="1" applyProtection="1">
      <alignment vertical="center"/>
      <protection/>
    </xf>
    <xf numFmtId="167" fontId="25" fillId="47" borderId="102" xfId="83" applyNumberFormat="1" applyFont="1" applyFill="1" applyBorder="1" applyAlignment="1">
      <alignment horizontal="right"/>
    </xf>
    <xf numFmtId="167" fontId="25" fillId="47" borderId="19" xfId="83" applyNumberFormat="1" applyFont="1" applyFill="1" applyBorder="1" applyAlignment="1">
      <alignment horizontal="right"/>
    </xf>
    <xf numFmtId="167" fontId="25" fillId="0" borderId="19" xfId="83" applyNumberFormat="1" applyFont="1" applyFill="1" applyBorder="1" applyAlignment="1">
      <alignment horizontal="right"/>
    </xf>
    <xf numFmtId="0" fontId="50" fillId="47" borderId="103" xfId="119" applyFont="1" applyFill="1" applyBorder="1" applyAlignment="1">
      <alignment horizontal="center" vertical="center" textRotation="90"/>
      <protection/>
    </xf>
    <xf numFmtId="0" fontId="24" fillId="47" borderId="104" xfId="127" applyFont="1" applyFill="1" applyBorder="1" applyAlignment="1">
      <alignment horizontal="center" vertical="center"/>
      <protection/>
    </xf>
    <xf numFmtId="167" fontId="53" fillId="47" borderId="105" xfId="83" applyNumberFormat="1" applyFont="1" applyFill="1" applyBorder="1" applyAlignment="1" applyProtection="1">
      <alignment vertical="center"/>
      <protection/>
    </xf>
    <xf numFmtId="167" fontId="53" fillId="47" borderId="101" xfId="83" applyNumberFormat="1" applyFont="1" applyFill="1" applyBorder="1" applyAlignment="1" applyProtection="1">
      <alignment vertical="center"/>
      <protection/>
    </xf>
    <xf numFmtId="167" fontId="24" fillId="47" borderId="101" xfId="83" applyNumberFormat="1" applyFont="1" applyFill="1" applyBorder="1" applyAlignment="1" applyProtection="1">
      <alignment vertical="center"/>
      <protection/>
    </xf>
    <xf numFmtId="0" fontId="24" fillId="47" borderId="106" xfId="127" applyFont="1" applyFill="1" applyBorder="1" applyAlignment="1">
      <alignment horizontal="center" vertical="center"/>
      <protection/>
    </xf>
    <xf numFmtId="167" fontId="53" fillId="47" borderId="106" xfId="83" applyNumberFormat="1" applyFont="1" applyFill="1" applyBorder="1" applyAlignment="1" applyProtection="1">
      <alignment vertical="center"/>
      <protection/>
    </xf>
    <xf numFmtId="167" fontId="24" fillId="47" borderId="106" xfId="83" applyNumberFormat="1" applyFont="1" applyFill="1" applyBorder="1" applyAlignment="1" applyProtection="1">
      <alignment vertical="center"/>
      <protection/>
    </xf>
    <xf numFmtId="167" fontId="52" fillId="47" borderId="19" xfId="83" applyNumberFormat="1" applyFont="1" applyFill="1" applyBorder="1" applyAlignment="1" applyProtection="1">
      <alignment vertical="center"/>
      <protection/>
    </xf>
    <xf numFmtId="167" fontId="25" fillId="47" borderId="19" xfId="83" applyNumberFormat="1" applyFont="1" applyFill="1" applyBorder="1" applyAlignment="1" applyProtection="1">
      <alignment vertical="center"/>
      <protection/>
    </xf>
    <xf numFmtId="0" fontId="24" fillId="47" borderId="0" xfId="127" applyFont="1" applyFill="1" applyBorder="1" applyAlignment="1">
      <alignment horizontal="center"/>
      <protection/>
    </xf>
    <xf numFmtId="0" fontId="25" fillId="47" borderId="0" xfId="127" applyFont="1" applyFill="1" applyBorder="1">
      <alignment/>
      <protection/>
    </xf>
    <xf numFmtId="167" fontId="24" fillId="47" borderId="0" xfId="83" applyNumberFormat="1" applyFont="1" applyFill="1" applyBorder="1" applyAlignment="1" applyProtection="1">
      <alignment/>
      <protection/>
    </xf>
    <xf numFmtId="0" fontId="50" fillId="47" borderId="0" xfId="119" applyFont="1" applyFill="1" applyBorder="1" applyAlignment="1">
      <alignment horizontal="left" vertical="center" wrapText="1"/>
      <protection/>
    </xf>
    <xf numFmtId="0" fontId="95" fillId="47" borderId="0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0" fontId="28" fillId="0" borderId="101" xfId="0" applyFont="1" applyBorder="1" applyAlignment="1">
      <alignment horizontal="center" vertical="center" wrapText="1"/>
    </xf>
    <xf numFmtId="0" fontId="25" fillId="0" borderId="107" xfId="0" applyFont="1" applyBorder="1" applyAlignment="1">
      <alignment horizontal="center" vertical="center" wrapText="1"/>
    </xf>
    <xf numFmtId="0" fontId="20" fillId="47" borderId="19" xfId="0" applyFont="1" applyFill="1" applyBorder="1" applyAlignment="1">
      <alignment horizontal="left" vertical="center" wrapText="1"/>
    </xf>
    <xf numFmtId="3" fontId="22" fillId="0" borderId="19" xfId="0" applyNumberFormat="1" applyFont="1" applyBorder="1" applyAlignment="1">
      <alignment vertical="center" wrapText="1"/>
    </xf>
    <xf numFmtId="3" fontId="22" fillId="0" borderId="107" xfId="0" applyNumberFormat="1" applyFont="1" applyBorder="1" applyAlignment="1">
      <alignment vertical="center" wrapText="1"/>
    </xf>
    <xf numFmtId="0" fontId="20" fillId="47" borderId="19" xfId="0" applyFont="1" applyFill="1" applyBorder="1" applyAlignment="1">
      <alignment vertical="center" wrapText="1"/>
    </xf>
    <xf numFmtId="0" fontId="22" fillId="47" borderId="19" xfId="0" applyFont="1" applyFill="1" applyBorder="1" applyAlignment="1">
      <alignment horizontal="left" vertical="center" wrapText="1"/>
    </xf>
    <xf numFmtId="3" fontId="23" fillId="0" borderId="19" xfId="0" applyNumberFormat="1" applyFont="1" applyBorder="1" applyAlignment="1">
      <alignment vertical="center" wrapText="1"/>
    </xf>
    <xf numFmtId="0" fontId="20" fillId="47" borderId="19" xfId="124" applyFont="1" applyFill="1" applyBorder="1" applyAlignment="1">
      <alignment horizontal="left" vertical="center" wrapText="1"/>
      <protection/>
    </xf>
    <xf numFmtId="0" fontId="29" fillId="47" borderId="19" xfId="124" applyFont="1" applyFill="1" applyBorder="1" applyAlignment="1">
      <alignment horizontal="left" vertical="center" wrapText="1"/>
      <protection/>
    </xf>
    <xf numFmtId="0" fontId="29" fillId="47" borderId="19" xfId="0" applyFont="1" applyFill="1" applyBorder="1" applyAlignment="1">
      <alignment horizontal="left" vertical="center" wrapText="1"/>
    </xf>
    <xf numFmtId="0" fontId="21" fillId="54" borderId="19" xfId="0" applyFont="1" applyFill="1" applyBorder="1" applyAlignment="1">
      <alignment horizontal="left" vertical="center" wrapText="1"/>
    </xf>
    <xf numFmtId="0" fontId="21" fillId="53" borderId="19" xfId="0" applyFont="1" applyFill="1" applyBorder="1" applyAlignment="1">
      <alignment horizontal="left" vertical="center" wrapText="1"/>
    </xf>
    <xf numFmtId="3" fontId="23" fillId="53" borderId="19" xfId="0" applyNumberFormat="1" applyFont="1" applyFill="1" applyBorder="1" applyAlignment="1">
      <alignment vertical="center" wrapText="1"/>
    </xf>
    <xf numFmtId="3" fontId="22" fillId="0" borderId="102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right" vertical="center"/>
    </xf>
    <xf numFmtId="3" fontId="22" fillId="0" borderId="0" xfId="0" applyNumberFormat="1" applyFont="1" applyFill="1" applyAlignment="1">
      <alignment wrapText="1"/>
    </xf>
    <xf numFmtId="3" fontId="22" fillId="0" borderId="0" xfId="0" applyNumberFormat="1" applyFont="1" applyAlignment="1">
      <alignment wrapText="1"/>
    </xf>
    <xf numFmtId="3" fontId="23" fillId="0" borderId="0" xfId="0" applyNumberFormat="1" applyFont="1" applyFill="1" applyAlignment="1">
      <alignment wrapText="1"/>
    </xf>
    <xf numFmtId="3" fontId="23" fillId="0" borderId="0" xfId="0" applyNumberFormat="1" applyFont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3" fontId="24" fillId="0" borderId="0" xfId="0" applyNumberFormat="1" applyFont="1" applyAlignment="1">
      <alignment wrapText="1"/>
    </xf>
    <xf numFmtId="0" fontId="21" fillId="0" borderId="0" xfId="0" applyFont="1" applyFill="1" applyBorder="1" applyAlignment="1">
      <alignment horizontal="right" vertical="center" wrapText="1"/>
    </xf>
    <xf numFmtId="3" fontId="22" fillId="0" borderId="0" xfId="0" applyNumberFormat="1" applyFont="1" applyFill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center" wrapText="1"/>
    </xf>
    <xf numFmtId="3" fontId="23" fillId="0" borderId="0" xfId="0" applyNumberFormat="1" applyFont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164" fontId="20" fillId="47" borderId="19" xfId="0" applyNumberFormat="1" applyFont="1" applyFill="1" applyBorder="1" applyAlignment="1" quotePrefix="1">
      <alignment horizontal="center" vertical="center"/>
    </xf>
    <xf numFmtId="165" fontId="20" fillId="47" borderId="19" xfId="0" applyNumberFormat="1" applyFont="1" applyFill="1" applyBorder="1" applyAlignment="1">
      <alignment vertical="center"/>
    </xf>
    <xf numFmtId="168" fontId="22" fillId="0" borderId="19" xfId="80" applyNumberFormat="1" applyFont="1" applyBorder="1" applyAlignment="1">
      <alignment/>
    </xf>
    <xf numFmtId="0" fontId="0" fillId="0" borderId="0" xfId="0" applyFont="1" applyAlignment="1">
      <alignment/>
    </xf>
    <xf numFmtId="164" fontId="30" fillId="47" borderId="19" xfId="0" applyNumberFormat="1" applyFont="1" applyFill="1" applyBorder="1" applyAlignment="1" quotePrefix="1">
      <alignment horizontal="center" vertical="center"/>
    </xf>
    <xf numFmtId="0" fontId="55" fillId="47" borderId="19" xfId="0" applyFont="1" applyFill="1" applyBorder="1" applyAlignment="1">
      <alignment horizontal="left" vertical="center" wrapText="1"/>
    </xf>
    <xf numFmtId="165" fontId="30" fillId="47" borderId="19" xfId="0" applyNumberFormat="1" applyFont="1" applyFill="1" applyBorder="1" applyAlignment="1">
      <alignment vertical="center"/>
    </xf>
    <xf numFmtId="168" fontId="55" fillId="0" borderId="19" xfId="80" applyNumberFormat="1" applyFont="1" applyBorder="1" applyAlignment="1">
      <alignment/>
    </xf>
    <xf numFmtId="0" fontId="56" fillId="0" borderId="0" xfId="0" applyFont="1" applyAlignment="1">
      <alignment/>
    </xf>
    <xf numFmtId="0" fontId="20" fillId="47" borderId="19" xfId="0" applyFont="1" applyFill="1" applyBorder="1" applyAlignment="1">
      <alignment horizontal="left" vertical="center"/>
    </xf>
    <xf numFmtId="0" fontId="24" fillId="0" borderId="0" xfId="122" applyFont="1" applyAlignment="1">
      <alignment wrapText="1"/>
      <protection/>
    </xf>
    <xf numFmtId="0" fontId="36" fillId="0" borderId="0" xfId="120" applyFont="1" applyAlignment="1">
      <alignment wrapText="1"/>
      <protection/>
    </xf>
    <xf numFmtId="168" fontId="23" fillId="0" borderId="19" xfId="80" applyNumberFormat="1" applyFont="1" applyBorder="1" applyAlignment="1">
      <alignment/>
    </xf>
    <xf numFmtId="0" fontId="30" fillId="47" borderId="19" xfId="0" applyFont="1" applyFill="1" applyBorder="1" applyAlignment="1">
      <alignment horizontal="left" vertical="center"/>
    </xf>
    <xf numFmtId="168" fontId="56" fillId="0" borderId="0" xfId="0" applyNumberFormat="1" applyFont="1" applyAlignment="1">
      <alignment/>
    </xf>
    <xf numFmtId="0" fontId="30" fillId="47" borderId="19" xfId="124" applyFont="1" applyFill="1" applyBorder="1" applyAlignment="1">
      <alignment horizontal="left" vertical="center"/>
      <protection/>
    </xf>
    <xf numFmtId="168" fontId="55" fillId="47" borderId="19" xfId="80" applyNumberFormat="1" applyFont="1" applyFill="1" applyBorder="1" applyAlignment="1">
      <alignment/>
    </xf>
    <xf numFmtId="164" fontId="21" fillId="54" borderId="19" xfId="0" applyNumberFormat="1" applyFont="1" applyFill="1" applyBorder="1" applyAlignment="1" quotePrefix="1">
      <alignment horizontal="center" vertical="center"/>
    </xf>
    <xf numFmtId="0" fontId="21" fillId="53" borderId="19" xfId="0" applyFont="1" applyFill="1" applyBorder="1" applyAlignment="1">
      <alignment horizontal="right" vertical="center"/>
    </xf>
    <xf numFmtId="165" fontId="21" fillId="53" borderId="19" xfId="0" applyNumberFormat="1" applyFont="1" applyFill="1" applyBorder="1" applyAlignment="1">
      <alignment vertical="center"/>
    </xf>
    <xf numFmtId="168" fontId="23" fillId="53" borderId="19" xfId="80" applyNumberFormat="1" applyFont="1" applyFill="1" applyBorder="1" applyAlignment="1">
      <alignment/>
    </xf>
    <xf numFmtId="164" fontId="29" fillId="47" borderId="19" xfId="0" applyNumberFormat="1" applyFont="1" applyFill="1" applyBorder="1" applyAlignment="1" quotePrefix="1">
      <alignment horizontal="center" vertical="center"/>
    </xf>
    <xf numFmtId="168" fontId="41" fillId="0" borderId="0" xfId="0" applyNumberFormat="1" applyFont="1" applyAlignment="1">
      <alignment/>
    </xf>
    <xf numFmtId="164" fontId="21" fillId="0" borderId="0" xfId="0" applyNumberFormat="1" applyFont="1" applyFill="1" applyBorder="1" applyAlignment="1" quotePrefix="1">
      <alignment horizontal="center" vertical="center"/>
    </xf>
    <xf numFmtId="168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50" borderId="0" xfId="0" applyFont="1" applyFill="1" applyAlignment="1">
      <alignment/>
    </xf>
    <xf numFmtId="0" fontId="57" fillId="0" borderId="0" xfId="116" applyFont="1" applyFill="1" applyBorder="1" applyAlignment="1">
      <alignment horizontal="center"/>
      <protection/>
    </xf>
    <xf numFmtId="0" fontId="38" fillId="0" borderId="0" xfId="116" applyFont="1" applyFill="1" applyBorder="1">
      <alignment/>
      <protection/>
    </xf>
    <xf numFmtId="0" fontId="38" fillId="0" borderId="108" xfId="116" applyFont="1" applyFill="1" applyBorder="1">
      <alignment/>
      <protection/>
    </xf>
    <xf numFmtId="0" fontId="41" fillId="0" borderId="0" xfId="116" applyFont="1" applyFill="1" applyBorder="1">
      <alignment/>
      <protection/>
    </xf>
    <xf numFmtId="0" fontId="38" fillId="0" borderId="0" xfId="116" applyFont="1" applyFill="1" applyBorder="1" applyAlignment="1">
      <alignment horizontal="center"/>
      <protection/>
    </xf>
    <xf numFmtId="0" fontId="38" fillId="0" borderId="0" xfId="116" applyFont="1" applyFill="1" applyBorder="1" applyAlignment="1">
      <alignment horizontal="right"/>
      <protection/>
    </xf>
    <xf numFmtId="3" fontId="38" fillId="0" borderId="19" xfId="116" applyNumberFormat="1" applyFont="1" applyFill="1" applyBorder="1" applyAlignment="1">
      <alignment horizontal="center" vertical="center"/>
      <protection/>
    </xf>
    <xf numFmtId="3" fontId="59" fillId="0" borderId="19" xfId="116" applyNumberFormat="1" applyFont="1" applyFill="1" applyBorder="1" applyAlignment="1">
      <alignment horizontal="center" vertical="center" wrapText="1"/>
      <protection/>
    </xf>
    <xf numFmtId="0" fontId="38" fillId="0" borderId="109" xfId="116" applyFont="1" applyFill="1" applyBorder="1">
      <alignment/>
      <protection/>
    </xf>
    <xf numFmtId="0" fontId="38" fillId="0" borderId="110" xfId="116" applyFont="1" applyFill="1" applyBorder="1">
      <alignment/>
      <protection/>
    </xf>
    <xf numFmtId="3" fontId="38" fillId="0" borderId="19" xfId="116" applyNumberFormat="1" applyFont="1" applyFill="1" applyBorder="1" applyAlignment="1">
      <alignment horizontal="center" vertical="center"/>
      <protection/>
    </xf>
    <xf numFmtId="0" fontId="38" fillId="0" borderId="111" xfId="116" applyFont="1" applyFill="1" applyBorder="1">
      <alignment/>
      <protection/>
    </xf>
    <xf numFmtId="0" fontId="38" fillId="0" borderId="19" xfId="116" applyFont="1" applyFill="1" applyBorder="1" applyAlignment="1">
      <alignment horizontal="center" vertical="center"/>
      <protection/>
    </xf>
    <xf numFmtId="3" fontId="0" fillId="0" borderId="19" xfId="116" applyNumberFormat="1" applyFont="1" applyFill="1" applyBorder="1" applyAlignment="1">
      <alignment horizontal="center" vertical="center" wrapText="1"/>
      <protection/>
    </xf>
    <xf numFmtId="0" fontId="38" fillId="0" borderId="112" xfId="116" applyFont="1" applyFill="1" applyBorder="1">
      <alignment/>
      <protection/>
    </xf>
    <xf numFmtId="14" fontId="38" fillId="0" borderId="19" xfId="116" applyNumberFormat="1" applyFont="1" applyFill="1" applyBorder="1" applyAlignment="1">
      <alignment horizontal="center" vertical="center" wrapText="1"/>
      <protection/>
    </xf>
    <xf numFmtId="0" fontId="38" fillId="0" borderId="19" xfId="116" applyFont="1" applyFill="1" applyBorder="1" applyAlignment="1">
      <alignment horizontal="center" vertical="center" wrapText="1"/>
      <protection/>
    </xf>
    <xf numFmtId="3" fontId="60" fillId="0" borderId="19" xfId="116" applyNumberFormat="1" applyFont="1" applyFill="1" applyBorder="1" applyAlignment="1">
      <alignment horizontal="center" vertical="center" wrapText="1"/>
      <protection/>
    </xf>
    <xf numFmtId="0" fontId="38" fillId="0" borderId="19" xfId="116" applyFont="1" applyFill="1" applyBorder="1" applyAlignment="1">
      <alignment horizontal="center"/>
      <protection/>
    </xf>
    <xf numFmtId="0" fontId="38" fillId="0" borderId="19" xfId="116" applyNumberFormat="1" applyFont="1" applyFill="1" applyBorder="1" applyAlignment="1">
      <alignment horizontal="center" vertical="center"/>
      <protection/>
    </xf>
    <xf numFmtId="3" fontId="61" fillId="0" borderId="19" xfId="116" applyNumberFormat="1" applyFont="1" applyFill="1" applyBorder="1" applyAlignment="1">
      <alignment horizontal="center" vertical="center"/>
      <protection/>
    </xf>
    <xf numFmtId="0" fontId="61" fillId="0" borderId="0" xfId="116" applyFont="1" applyFill="1" applyBorder="1" applyAlignment="1">
      <alignment horizontal="center"/>
      <protection/>
    </xf>
    <xf numFmtId="0" fontId="61" fillId="0" borderId="112" xfId="116" applyFont="1" applyFill="1" applyBorder="1" applyAlignment="1">
      <alignment horizontal="center"/>
      <protection/>
    </xf>
    <xf numFmtId="3" fontId="61" fillId="0" borderId="19" xfId="116" applyNumberFormat="1" applyFont="1" applyFill="1" applyBorder="1" applyAlignment="1">
      <alignment horizontal="center" vertical="center" wrapText="1"/>
      <protection/>
    </xf>
    <xf numFmtId="0" fontId="60" fillId="0" borderId="0" xfId="116" applyFont="1" applyFill="1" applyBorder="1">
      <alignment/>
      <protection/>
    </xf>
    <xf numFmtId="0" fontId="60" fillId="0" borderId="113" xfId="116" applyFont="1" applyFill="1" applyBorder="1">
      <alignment/>
      <protection/>
    </xf>
    <xf numFmtId="3" fontId="38" fillId="0" borderId="19" xfId="116" applyNumberFormat="1" applyFont="1" applyFill="1" applyBorder="1" applyAlignment="1">
      <alignment horizontal="center" vertical="center" wrapText="1"/>
      <protection/>
    </xf>
    <xf numFmtId="3" fontId="60" fillId="0" borderId="19" xfId="116" applyNumberFormat="1" applyFont="1" applyFill="1" applyBorder="1" applyAlignment="1">
      <alignment horizontal="center" vertical="center"/>
      <protection/>
    </xf>
    <xf numFmtId="0" fontId="60" fillId="0" borderId="110" xfId="116" applyFont="1" applyFill="1" applyBorder="1">
      <alignment/>
      <protection/>
    </xf>
    <xf numFmtId="171" fontId="38" fillId="0" borderId="19" xfId="136" applyNumberFormat="1" applyFont="1" applyFill="1" applyBorder="1" applyAlignment="1">
      <alignment horizontal="center" vertical="center"/>
    </xf>
    <xf numFmtId="171" fontId="59" fillId="0" borderId="19" xfId="136" applyNumberFormat="1" applyFont="1" applyFill="1" applyBorder="1" applyAlignment="1">
      <alignment horizontal="center" vertical="center"/>
    </xf>
    <xf numFmtId="3" fontId="61" fillId="0" borderId="114" xfId="116" applyNumberFormat="1" applyFont="1" applyFill="1" applyBorder="1" applyAlignment="1">
      <alignment horizontal="center" vertical="center"/>
      <protection/>
    </xf>
    <xf numFmtId="3" fontId="61" fillId="0" borderId="115" xfId="116" applyNumberFormat="1" applyFont="1" applyFill="1" applyBorder="1" applyAlignment="1">
      <alignment horizontal="center" vertical="center"/>
      <protection/>
    </xf>
    <xf numFmtId="3" fontId="61" fillId="0" borderId="116" xfId="116" applyNumberFormat="1" applyFont="1" applyFill="1" applyBorder="1" applyAlignment="1">
      <alignment horizontal="center" vertical="center"/>
      <protection/>
    </xf>
    <xf numFmtId="3" fontId="61" fillId="0" borderId="117" xfId="116" applyNumberFormat="1" applyFont="1" applyFill="1" applyBorder="1" applyAlignment="1">
      <alignment horizontal="center" vertical="center"/>
      <protection/>
    </xf>
    <xf numFmtId="3" fontId="61" fillId="0" borderId="0" xfId="116" applyNumberFormat="1" applyFont="1" applyFill="1" applyBorder="1" applyAlignment="1">
      <alignment horizontal="center" vertical="center"/>
      <protection/>
    </xf>
    <xf numFmtId="3" fontId="38" fillId="0" borderId="118" xfId="116" applyNumberFormat="1" applyFont="1" applyFill="1" applyBorder="1" applyAlignment="1">
      <alignment horizontal="center" vertical="center"/>
      <protection/>
    </xf>
    <xf numFmtId="171" fontId="38" fillId="0" borderId="112" xfId="136" applyNumberFormat="1" applyFont="1" applyFill="1" applyBorder="1" applyAlignment="1">
      <alignment horizontal="center" vertical="center"/>
    </xf>
    <xf numFmtId="171" fontId="38" fillId="0" borderId="0" xfId="136" applyNumberFormat="1" applyFont="1" applyFill="1" applyBorder="1" applyAlignment="1">
      <alignment horizontal="center" vertical="center"/>
    </xf>
    <xf numFmtId="0" fontId="62" fillId="15" borderId="119" xfId="116" applyFont="1" applyFill="1" applyBorder="1" applyAlignment="1">
      <alignment horizontal="center" vertical="center" wrapText="1"/>
      <protection/>
    </xf>
    <xf numFmtId="171" fontId="38" fillId="15" borderId="120" xfId="136" applyNumberFormat="1" applyFont="1" applyFill="1" applyBorder="1" applyAlignment="1">
      <alignment horizontal="center" vertical="center"/>
    </xf>
    <xf numFmtId="3" fontId="38" fillId="15" borderId="0" xfId="116" applyNumberFormat="1" applyFont="1" applyFill="1" applyBorder="1">
      <alignment/>
      <protection/>
    </xf>
    <xf numFmtId="0" fontId="38" fillId="15" borderId="0" xfId="116" applyFont="1" applyFill="1" applyBorder="1">
      <alignment/>
      <protection/>
    </xf>
    <xf numFmtId="0" fontId="38" fillId="15" borderId="108" xfId="116" applyFont="1" applyFill="1" applyBorder="1">
      <alignment/>
      <protection/>
    </xf>
    <xf numFmtId="0" fontId="63" fillId="55" borderId="0" xfId="116" applyFont="1" applyFill="1" applyBorder="1" applyAlignment="1">
      <alignment horizontal="center" vertical="center" wrapText="1"/>
      <protection/>
    </xf>
    <xf numFmtId="171" fontId="63" fillId="55" borderId="121" xfId="136" applyNumberFormat="1" applyFont="1" applyFill="1" applyBorder="1" applyAlignment="1">
      <alignment vertical="center"/>
    </xf>
    <xf numFmtId="3" fontId="64" fillId="55" borderId="0" xfId="116" applyNumberFormat="1" applyFont="1" applyFill="1" applyBorder="1">
      <alignment/>
      <protection/>
    </xf>
    <xf numFmtId="0" fontId="64" fillId="55" borderId="0" xfId="116" applyFont="1" applyFill="1" applyBorder="1">
      <alignment/>
      <protection/>
    </xf>
    <xf numFmtId="0" fontId="38" fillId="0" borderId="122" xfId="116" applyFont="1" applyFill="1" applyBorder="1">
      <alignment/>
      <protection/>
    </xf>
    <xf numFmtId="171" fontId="64" fillId="0" borderId="0" xfId="136" applyNumberFormat="1" applyFont="1" applyFill="1" applyBorder="1" applyAlignment="1">
      <alignment vertical="center" wrapText="1"/>
    </xf>
    <xf numFmtId="171" fontId="38" fillId="0" borderId="0" xfId="116" applyNumberFormat="1" applyFont="1" applyFill="1" applyBorder="1">
      <alignment/>
      <protection/>
    </xf>
    <xf numFmtId="0" fontId="64" fillId="0" borderId="0" xfId="116" applyFont="1" applyFill="1" applyBorder="1" applyAlignment="1">
      <alignment/>
      <protection/>
    </xf>
    <xf numFmtId="0" fontId="64" fillId="0" borderId="0" xfId="116" applyFont="1" applyFill="1" applyBorder="1" applyAlignment="1">
      <alignment vertical="center" wrapText="1"/>
      <protection/>
    </xf>
    <xf numFmtId="0" fontId="64" fillId="0" borderId="0" xfId="116" applyFont="1" applyFill="1" applyBorder="1">
      <alignment/>
      <protection/>
    </xf>
    <xf numFmtId="3" fontId="64" fillId="0" borderId="0" xfId="116" applyNumberFormat="1" applyFont="1" applyFill="1" applyBorder="1">
      <alignment/>
      <protection/>
    </xf>
    <xf numFmtId="3" fontId="64" fillId="0" borderId="0" xfId="116" applyNumberFormat="1" applyFont="1" applyFill="1" applyBorder="1" applyAlignment="1">
      <alignment/>
      <protection/>
    </xf>
    <xf numFmtId="0" fontId="59" fillId="0" borderId="0" xfId="116" applyFont="1" applyFill="1" applyBorder="1">
      <alignment/>
      <protection/>
    </xf>
    <xf numFmtId="3" fontId="38" fillId="0" borderId="0" xfId="116" applyNumberFormat="1" applyFont="1" applyFill="1" applyBorder="1">
      <alignment/>
      <protection/>
    </xf>
    <xf numFmtId="0" fontId="38" fillId="0" borderId="113" xfId="116" applyFont="1" applyFill="1" applyBorder="1">
      <alignment/>
      <protection/>
    </xf>
    <xf numFmtId="0" fontId="38" fillId="0" borderId="123" xfId="116" applyFont="1" applyFill="1" applyBorder="1">
      <alignment/>
      <protection/>
    </xf>
    <xf numFmtId="0" fontId="38" fillId="0" borderId="124" xfId="116" applyFont="1" applyFill="1" applyBorder="1">
      <alignment/>
      <protection/>
    </xf>
    <xf numFmtId="0" fontId="37" fillId="0" borderId="0" xfId="120" applyFont="1" applyAlignment="1">
      <alignment vertical="center" wrapText="1"/>
      <protection/>
    </xf>
    <xf numFmtId="0" fontId="65" fillId="0" borderId="0" xfId="120" applyFont="1" applyAlignment="1">
      <alignment vertical="center" wrapText="1"/>
      <protection/>
    </xf>
    <xf numFmtId="0" fontId="37" fillId="0" borderId="19" xfId="120" applyFont="1" applyBorder="1" applyAlignment="1">
      <alignment horizontal="center" vertical="center" wrapText="1"/>
      <protection/>
    </xf>
    <xf numFmtId="0" fontId="37" fillId="0" borderId="19" xfId="120" applyFont="1" applyBorder="1" applyAlignment="1">
      <alignment vertical="center" wrapText="1"/>
      <protection/>
    </xf>
    <xf numFmtId="0" fontId="36" fillId="0" borderId="19" xfId="120" applyFont="1" applyFill="1" applyBorder="1" applyAlignment="1">
      <alignment vertical="center" wrapText="1"/>
      <protection/>
    </xf>
    <xf numFmtId="3" fontId="36" fillId="0" borderId="19" xfId="120" applyNumberFormat="1" applyFont="1" applyFill="1" applyBorder="1" applyAlignment="1">
      <alignment vertical="center" wrapText="1"/>
      <protection/>
    </xf>
    <xf numFmtId="3" fontId="37" fillId="0" borderId="19" xfId="120" applyNumberFormat="1" applyFont="1" applyFill="1" applyBorder="1" applyAlignment="1">
      <alignment vertical="center" wrapText="1"/>
      <protection/>
    </xf>
    <xf numFmtId="0" fontId="0" fillId="53" borderId="0" xfId="0" applyFill="1" applyAlignment="1">
      <alignment/>
    </xf>
    <xf numFmtId="0" fontId="37" fillId="0" borderId="19" xfId="120" applyFont="1" applyFill="1" applyBorder="1" applyAlignment="1">
      <alignment vertical="center" wrapText="1"/>
      <protection/>
    </xf>
    <xf numFmtId="0" fontId="36" fillId="0" borderId="19" xfId="120" applyFont="1" applyBorder="1" applyAlignment="1">
      <alignment vertical="center" wrapText="1"/>
      <protection/>
    </xf>
    <xf numFmtId="3" fontId="37" fillId="0" borderId="19" xfId="120" applyNumberFormat="1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3" fontId="36" fillId="0" borderId="19" xfId="120" applyNumberFormat="1" applyFont="1" applyBorder="1" applyAlignment="1">
      <alignment vertical="center" wrapText="1"/>
      <protection/>
    </xf>
    <xf numFmtId="0" fontId="36" fillId="0" borderId="0" xfId="120" applyFont="1" applyAlignment="1">
      <alignment vertical="center" wrapText="1"/>
      <protection/>
    </xf>
    <xf numFmtId="3" fontId="36" fillId="0" borderId="0" xfId="120" applyNumberFormat="1" applyFont="1" applyAlignment="1">
      <alignment vertical="center" wrapText="1"/>
      <protection/>
    </xf>
    <xf numFmtId="3" fontId="37" fillId="0" borderId="0" xfId="120" applyNumberFormat="1" applyFont="1" applyAlignment="1">
      <alignment vertical="center" wrapText="1"/>
      <protection/>
    </xf>
    <xf numFmtId="3" fontId="36" fillId="0" borderId="42" xfId="120" applyNumberFormat="1" applyFont="1" applyBorder="1" applyAlignment="1">
      <alignment vertical="center" wrapText="1"/>
      <protection/>
    </xf>
    <xf numFmtId="0" fontId="36" fillId="0" borderId="125" xfId="120" applyFont="1" applyBorder="1" applyAlignment="1">
      <alignment vertical="center" wrapText="1"/>
      <protection/>
    </xf>
    <xf numFmtId="3" fontId="36" fillId="0" borderId="74" xfId="120" applyNumberFormat="1" applyFont="1" applyBorder="1" applyAlignment="1">
      <alignment vertical="center" wrapText="1"/>
      <protection/>
    </xf>
    <xf numFmtId="3" fontId="36" fillId="0" borderId="125" xfId="120" applyNumberFormat="1" applyFont="1" applyBorder="1" applyAlignment="1">
      <alignment vertical="center" wrapText="1"/>
      <protection/>
    </xf>
    <xf numFmtId="3" fontId="36" fillId="0" borderId="0" xfId="120" applyNumberFormat="1" applyFont="1" applyBorder="1" applyAlignment="1">
      <alignment vertical="center" wrapText="1"/>
      <protection/>
    </xf>
    <xf numFmtId="3" fontId="36" fillId="0" borderId="40" xfId="120" applyNumberFormat="1" applyFont="1" applyBorder="1" applyAlignment="1">
      <alignment vertical="center" wrapText="1"/>
      <protection/>
    </xf>
    <xf numFmtId="3" fontId="36" fillId="0" borderId="41" xfId="120" applyNumberFormat="1" applyFont="1" applyBorder="1" applyAlignment="1">
      <alignment vertical="center" wrapText="1"/>
      <protection/>
    </xf>
    <xf numFmtId="0" fontId="36" fillId="0" borderId="41" xfId="120" applyFont="1" applyBorder="1" applyAlignment="1">
      <alignment vertical="center" wrapText="1"/>
      <protection/>
    </xf>
    <xf numFmtId="3" fontId="36" fillId="0" borderId="50" xfId="120" applyNumberFormat="1" applyFont="1" applyBorder="1" applyAlignment="1">
      <alignment vertical="center" wrapText="1"/>
      <protection/>
    </xf>
    <xf numFmtId="3" fontId="36" fillId="0" borderId="51" xfId="120" applyNumberFormat="1" applyFont="1" applyBorder="1" applyAlignment="1">
      <alignment vertical="center" wrapText="1"/>
      <protection/>
    </xf>
    <xf numFmtId="0" fontId="37" fillId="0" borderId="41" xfId="120" applyFont="1" applyBorder="1" applyAlignment="1">
      <alignment vertical="center" wrapText="1"/>
      <protection/>
    </xf>
    <xf numFmtId="3" fontId="36" fillId="0" borderId="20" xfId="120" applyNumberFormat="1" applyFont="1" applyBorder="1" applyAlignment="1">
      <alignment vertical="center" wrapText="1"/>
      <protection/>
    </xf>
    <xf numFmtId="0" fontId="36" fillId="0" borderId="50" xfId="120" applyFont="1" applyBorder="1" applyAlignment="1">
      <alignment vertical="center" wrapText="1"/>
      <protection/>
    </xf>
    <xf numFmtId="0" fontId="96" fillId="0" borderId="0" xfId="120" applyFont="1" applyAlignment="1">
      <alignment vertical="center" wrapText="1"/>
      <protection/>
    </xf>
    <xf numFmtId="164" fontId="21" fillId="47" borderId="0" xfId="122" applyNumberFormat="1" applyFont="1" applyFill="1" applyBorder="1" applyAlignment="1">
      <alignment horizontal="center" vertical="center" wrapText="1"/>
      <protection/>
    </xf>
    <xf numFmtId="168" fontId="0" fillId="0" borderId="0" xfId="80" applyNumberFormat="1" applyFont="1" applyAlignment="1">
      <alignment/>
    </xf>
    <xf numFmtId="164" fontId="21" fillId="47" borderId="20" xfId="122" applyNumberFormat="1" applyFont="1" applyFill="1" applyBorder="1" applyAlignment="1">
      <alignment horizontal="center" vertical="center" wrapText="1"/>
      <protection/>
    </xf>
    <xf numFmtId="164" fontId="51" fillId="47" borderId="19" xfId="122" applyNumberFormat="1" applyFont="1" applyFill="1" applyBorder="1" applyAlignment="1">
      <alignment horizontal="center" vertical="center" wrapText="1"/>
      <protection/>
    </xf>
    <xf numFmtId="0" fontId="66" fillId="47" borderId="74" xfId="122" applyFont="1" applyFill="1" applyBorder="1" applyAlignment="1">
      <alignment horizontal="center" vertical="center" wrapText="1"/>
      <protection/>
    </xf>
    <xf numFmtId="0" fontId="25" fillId="0" borderId="19" xfId="122" applyFont="1" applyBorder="1" applyAlignment="1">
      <alignment horizontal="center" vertical="center" wrapText="1"/>
      <protection/>
    </xf>
    <xf numFmtId="164" fontId="51" fillId="47" borderId="43" xfId="122" applyNumberFormat="1" applyFont="1" applyFill="1" applyBorder="1" applyAlignment="1">
      <alignment horizontal="center" vertical="center" wrapText="1"/>
      <protection/>
    </xf>
    <xf numFmtId="0" fontId="37" fillId="0" borderId="43" xfId="120" applyFont="1" applyBorder="1" applyAlignment="1">
      <alignment vertical="center" wrapText="1"/>
      <protection/>
    </xf>
    <xf numFmtId="168" fontId="25" fillId="0" borderId="19" xfId="80" applyNumberFormat="1" applyFont="1" applyBorder="1" applyAlignment="1">
      <alignment horizontal="center" vertical="center" wrapText="1"/>
    </xf>
    <xf numFmtId="168" fontId="37" fillId="0" borderId="19" xfId="80" applyNumberFormat="1" applyFont="1" applyBorder="1" applyAlignment="1">
      <alignment horizontal="center" vertical="center" wrapText="1"/>
    </xf>
    <xf numFmtId="0" fontId="50" fillId="47" borderId="43" xfId="122" applyFont="1" applyFill="1" applyBorder="1" applyAlignment="1">
      <alignment horizontal="left" vertical="center" wrapText="1"/>
      <protection/>
    </xf>
    <xf numFmtId="165" fontId="67" fillId="47" borderId="19" xfId="122" applyNumberFormat="1" applyFont="1" applyFill="1" applyBorder="1" applyAlignment="1">
      <alignment vertical="center" wrapText="1"/>
      <protection/>
    </xf>
    <xf numFmtId="168" fontId="50" fillId="47" borderId="19" xfId="80" applyNumberFormat="1" applyFont="1" applyFill="1" applyBorder="1" applyAlignment="1">
      <alignment horizontal="center" vertical="center" wrapText="1"/>
    </xf>
    <xf numFmtId="168" fontId="50" fillId="0" borderId="19" xfId="8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0" fontId="21" fillId="47" borderId="43" xfId="122" applyFont="1" applyFill="1" applyBorder="1" applyAlignment="1">
      <alignment horizontal="left" vertical="center" wrapText="1"/>
      <protection/>
    </xf>
    <xf numFmtId="165" fontId="51" fillId="47" borderId="43" xfId="122" applyNumberFormat="1" applyFont="1" applyFill="1" applyBorder="1" applyAlignment="1">
      <alignment vertical="center" wrapText="1"/>
      <protection/>
    </xf>
    <xf numFmtId="168" fontId="51" fillId="47" borderId="19" xfId="80" applyNumberFormat="1" applyFont="1" applyFill="1" applyBorder="1" applyAlignment="1">
      <alignment horizontal="center" vertical="center" wrapText="1"/>
    </xf>
    <xf numFmtId="0" fontId="20" fillId="47" borderId="43" xfId="122" applyFont="1" applyFill="1" applyBorder="1" applyAlignment="1">
      <alignment horizontal="left" vertical="center" wrapText="1"/>
      <protection/>
    </xf>
    <xf numFmtId="165" fontId="50" fillId="47" borderId="43" xfId="122" applyNumberFormat="1" applyFont="1" applyFill="1" applyBorder="1" applyAlignment="1">
      <alignment vertical="center" wrapText="1"/>
      <protection/>
    </xf>
    <xf numFmtId="0" fontId="21" fillId="47" borderId="43" xfId="122" applyFont="1" applyFill="1" applyBorder="1" applyAlignment="1">
      <alignment horizontal="right" vertical="center" wrapText="1"/>
      <protection/>
    </xf>
    <xf numFmtId="165" fontId="21" fillId="47" borderId="43" xfId="122" applyNumberFormat="1" applyFont="1" applyFill="1" applyBorder="1" applyAlignment="1">
      <alignment vertical="center" wrapText="1"/>
      <protection/>
    </xf>
    <xf numFmtId="0" fontId="50" fillId="47" borderId="43" xfId="122" applyFont="1" applyFill="1" applyBorder="1" applyAlignment="1">
      <alignment vertical="center" wrapText="1"/>
      <protection/>
    </xf>
    <xf numFmtId="0" fontId="24" fillId="47" borderId="43" xfId="122" applyFont="1" applyFill="1" applyBorder="1" applyAlignment="1">
      <alignment horizontal="left" vertical="center" wrapText="1"/>
      <protection/>
    </xf>
    <xf numFmtId="0" fontId="26" fillId="0" borderId="19" xfId="0" applyFont="1" applyBorder="1" applyAlignment="1">
      <alignment/>
    </xf>
    <xf numFmtId="0" fontId="24" fillId="0" borderId="19" xfId="0" applyFont="1" applyBorder="1" applyAlignment="1">
      <alignment/>
    </xf>
    <xf numFmtId="168" fontId="24" fillId="0" borderId="0" xfId="80" applyNumberFormat="1" applyFont="1" applyAlignment="1">
      <alignment/>
    </xf>
    <xf numFmtId="0" fontId="37" fillId="0" borderId="0" xfId="120" applyFont="1" applyAlignment="1">
      <alignment wrapText="1"/>
      <protection/>
    </xf>
    <xf numFmtId="0" fontId="24" fillId="47" borderId="27" xfId="0" applyFont="1" applyFill="1" applyBorder="1" applyAlignment="1">
      <alignment horizontal="center" vertical="center"/>
    </xf>
    <xf numFmtId="49" fontId="24" fillId="0" borderId="60" xfId="0" applyNumberFormat="1" applyFont="1" applyFill="1" applyBorder="1" applyAlignment="1">
      <alignment horizontal="center" vertical="center"/>
    </xf>
    <xf numFmtId="49" fontId="24" fillId="0" borderId="61" xfId="0" applyNumberFormat="1" applyFont="1" applyFill="1" applyBorder="1" applyAlignment="1" quotePrefix="1">
      <alignment horizontal="center" vertical="center"/>
    </xf>
    <xf numFmtId="49" fontId="24" fillId="0" borderId="56" xfId="0" applyNumberFormat="1" applyFont="1" applyFill="1" applyBorder="1" applyAlignment="1" quotePrefix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47" borderId="47" xfId="0" applyFont="1" applyFill="1" applyBorder="1" applyAlignment="1">
      <alignment horizontal="center" vertical="center"/>
    </xf>
    <xf numFmtId="171" fontId="21" fillId="47" borderId="0" xfId="132" applyNumberFormat="1" applyFont="1" applyFill="1" applyAlignment="1">
      <alignment/>
    </xf>
    <xf numFmtId="49" fontId="24" fillId="50" borderId="37" xfId="0" applyNumberFormat="1" applyFont="1" applyFill="1" applyBorder="1" applyAlignment="1">
      <alignment horizontal="center" vertical="center"/>
    </xf>
    <xf numFmtId="49" fontId="24" fillId="50" borderId="28" xfId="0" applyNumberFormat="1" applyFont="1" applyFill="1" applyBorder="1" applyAlignment="1" quotePrefix="1">
      <alignment horizontal="center" vertical="center"/>
    </xf>
    <xf numFmtId="0" fontId="24" fillId="51" borderId="0" xfId="0" applyFont="1" applyFill="1" applyAlignment="1">
      <alignment/>
    </xf>
    <xf numFmtId="168" fontId="25" fillId="51" borderId="0" xfId="0" applyNumberFormat="1" applyFont="1" applyFill="1" applyAlignment="1">
      <alignment/>
    </xf>
    <xf numFmtId="168" fontId="24" fillId="51" borderId="0" xfId="0" applyNumberFormat="1" applyFont="1" applyFill="1" applyAlignment="1">
      <alignment/>
    </xf>
    <xf numFmtId="0" fontId="0" fillId="50" borderId="0" xfId="0" applyFill="1" applyAlignment="1">
      <alignment/>
    </xf>
    <xf numFmtId="0" fontId="22" fillId="0" borderId="0" xfId="0" applyFont="1" applyFill="1" applyAlignment="1">
      <alignment horizontal="left" wrapText="1"/>
    </xf>
    <xf numFmtId="0" fontId="22" fillId="50" borderId="0" xfId="0" applyFont="1" applyFill="1" applyAlignment="1">
      <alignment horizontal="left" wrapText="1"/>
    </xf>
    <xf numFmtId="168" fontId="20" fillId="50" borderId="43" xfId="80" applyNumberFormat="1" applyFont="1" applyFill="1" applyBorder="1" applyAlignment="1">
      <alignment/>
    </xf>
    <xf numFmtId="168" fontId="21" fillId="50" borderId="43" xfId="80" applyNumberFormat="1" applyFont="1" applyFill="1" applyBorder="1" applyAlignment="1">
      <alignment horizontal="right" vertical="center"/>
    </xf>
    <xf numFmtId="168" fontId="25" fillId="50" borderId="19" xfId="80" applyNumberFormat="1" applyFont="1" applyFill="1" applyBorder="1" applyAlignment="1">
      <alignment horizontal="center" vertical="center" wrapText="1"/>
    </xf>
    <xf numFmtId="168" fontId="51" fillId="50" borderId="19" xfId="80" applyNumberFormat="1" applyFont="1" applyFill="1" applyBorder="1" applyAlignment="1">
      <alignment horizontal="center" vertical="center" wrapText="1"/>
    </xf>
    <xf numFmtId="171" fontId="24" fillId="0" borderId="0" xfId="0" applyNumberFormat="1" applyFont="1" applyAlignment="1">
      <alignment/>
    </xf>
    <xf numFmtId="168" fontId="29" fillId="47" borderId="0" xfId="0" applyNumberFormat="1" applyFont="1" applyFill="1" applyAlignment="1">
      <alignment/>
    </xf>
    <xf numFmtId="0" fontId="22" fillId="50" borderId="21" xfId="0" applyFont="1" applyFill="1" applyBorder="1" applyAlignment="1">
      <alignment horizontal="left" vertical="center" wrapText="1"/>
    </xf>
    <xf numFmtId="0" fontId="22" fillId="50" borderId="28" xfId="0" applyFont="1" applyFill="1" applyBorder="1" applyAlignment="1">
      <alignment horizontal="left" vertical="center" wrapText="1"/>
    </xf>
    <xf numFmtId="168" fontId="24" fillId="50" borderId="0" xfId="0" applyNumberFormat="1" applyFont="1" applyFill="1" applyBorder="1" applyAlignment="1">
      <alignment horizontal="left" vertical="center" wrapText="1"/>
    </xf>
    <xf numFmtId="0" fontId="23" fillId="50" borderId="19" xfId="0" applyFont="1" applyFill="1" applyBorder="1" applyAlignment="1">
      <alignment horizontal="center" vertical="center" wrapText="1"/>
    </xf>
    <xf numFmtId="168" fontId="22" fillId="50" borderId="19" xfId="80" applyNumberFormat="1" applyFont="1" applyFill="1" applyBorder="1" applyAlignment="1">
      <alignment/>
    </xf>
    <xf numFmtId="10" fontId="22" fillId="50" borderId="19" xfId="141" applyNumberFormat="1" applyFont="1" applyFill="1" applyBorder="1" applyAlignment="1">
      <alignment horizontal="center"/>
    </xf>
    <xf numFmtId="168" fontId="22" fillId="50" borderId="19" xfId="0" applyNumberFormat="1" applyFont="1" applyFill="1" applyBorder="1" applyAlignment="1">
      <alignment/>
    </xf>
    <xf numFmtId="168" fontId="55" fillId="50" borderId="19" xfId="80" applyNumberFormat="1" applyFont="1" applyFill="1" applyBorder="1" applyAlignment="1">
      <alignment/>
    </xf>
    <xf numFmtId="10" fontId="55" fillId="50" borderId="19" xfId="141" applyNumberFormat="1" applyFont="1" applyFill="1" applyBorder="1" applyAlignment="1">
      <alignment horizontal="center"/>
    </xf>
    <xf numFmtId="168" fontId="55" fillId="50" borderId="19" xfId="0" applyNumberFormat="1" applyFont="1" applyFill="1" applyBorder="1" applyAlignment="1">
      <alignment/>
    </xf>
    <xf numFmtId="168" fontId="23" fillId="50" borderId="19" xfId="80" applyNumberFormat="1" applyFont="1" applyFill="1" applyBorder="1" applyAlignment="1">
      <alignment/>
    </xf>
    <xf numFmtId="10" fontId="23" fillId="50" borderId="19" xfId="141" applyNumberFormat="1" applyFont="1" applyFill="1" applyBorder="1" applyAlignment="1">
      <alignment horizontal="center"/>
    </xf>
    <xf numFmtId="168" fontId="23" fillId="50" borderId="19" xfId="0" applyNumberFormat="1" applyFont="1" applyFill="1" applyBorder="1" applyAlignment="1">
      <alignment/>
    </xf>
    <xf numFmtId="168" fontId="23" fillId="50" borderId="0" xfId="80" applyNumberFormat="1" applyFont="1" applyFill="1" applyBorder="1" applyAlignment="1">
      <alignment/>
    </xf>
    <xf numFmtId="9" fontId="23" fillId="50" borderId="0" xfId="141" applyFont="1" applyFill="1" applyBorder="1" applyAlignment="1">
      <alignment horizontal="center"/>
    </xf>
    <xf numFmtId="0" fontId="41" fillId="50" borderId="0" xfId="0" applyFont="1" applyFill="1" applyAlignment="1">
      <alignment wrapText="1"/>
    </xf>
    <xf numFmtId="0" fontId="0" fillId="50" borderId="0" xfId="0" applyFill="1" applyAlignment="1">
      <alignment wrapText="1"/>
    </xf>
    <xf numFmtId="0" fontId="22" fillId="50" borderId="0" xfId="0" applyFont="1" applyFill="1" applyAlignment="1">
      <alignment wrapText="1"/>
    </xf>
    <xf numFmtId="194" fontId="0" fillId="50" borderId="0" xfId="0" applyNumberFormat="1" applyFill="1" applyAlignment="1">
      <alignment horizontal="center" vertical="center" wrapText="1"/>
    </xf>
    <xf numFmtId="194" fontId="0" fillId="50" borderId="0" xfId="0" applyNumberFormat="1" applyFill="1" applyAlignment="1">
      <alignment vertical="center" wrapText="1"/>
    </xf>
    <xf numFmtId="194" fontId="68" fillId="50" borderId="0" xfId="0" applyNumberFormat="1" applyFont="1" applyFill="1" applyAlignment="1">
      <alignment horizontal="right"/>
    </xf>
    <xf numFmtId="194" fontId="25" fillId="50" borderId="19" xfId="0" applyNumberFormat="1" applyFont="1" applyFill="1" applyBorder="1" applyAlignment="1">
      <alignment horizontal="center" vertical="center"/>
    </xf>
    <xf numFmtId="194" fontId="25" fillId="50" borderId="19" xfId="0" applyNumberFormat="1" applyFont="1" applyFill="1" applyBorder="1" applyAlignment="1">
      <alignment horizontal="center" vertical="center" wrapText="1"/>
    </xf>
    <xf numFmtId="194" fontId="25" fillId="50" borderId="126" xfId="0" applyNumberFormat="1" applyFont="1" applyFill="1" applyBorder="1" applyAlignment="1">
      <alignment horizontal="center" vertical="center" wrapText="1"/>
    </xf>
    <xf numFmtId="194" fontId="25" fillId="50" borderId="127" xfId="0" applyNumberFormat="1" applyFont="1" applyFill="1" applyBorder="1" applyAlignment="1">
      <alignment horizontal="center" vertical="center" wrapText="1"/>
    </xf>
    <xf numFmtId="194" fontId="25" fillId="50" borderId="19" xfId="0" applyNumberFormat="1" applyFont="1" applyFill="1" applyBorder="1" applyAlignment="1">
      <alignment horizontal="left" vertical="center" wrapText="1" indent="1"/>
    </xf>
    <xf numFmtId="49" fontId="24" fillId="50" borderId="19" xfId="0" applyNumberFormat="1" applyFont="1" applyFill="1" applyBorder="1" applyAlignment="1" applyProtection="1">
      <alignment horizontal="center" vertical="center" wrapText="1"/>
      <protection locked="0"/>
    </xf>
    <xf numFmtId="194" fontId="24" fillId="50" borderId="19" xfId="0" applyNumberFormat="1" applyFont="1" applyFill="1" applyBorder="1" applyAlignment="1">
      <alignment vertical="center" wrapText="1"/>
    </xf>
    <xf numFmtId="194" fontId="24" fillId="50" borderId="127" xfId="0" applyNumberFormat="1" applyFont="1" applyFill="1" applyBorder="1" applyAlignment="1">
      <alignment vertical="center" wrapText="1"/>
    </xf>
    <xf numFmtId="194" fontId="25" fillId="50" borderId="128" xfId="0" applyNumberFormat="1" applyFont="1" applyFill="1" applyBorder="1" applyAlignment="1">
      <alignment vertical="center" wrapText="1"/>
    </xf>
    <xf numFmtId="194" fontId="25" fillId="50" borderId="129" xfId="0" applyNumberFormat="1" applyFont="1" applyFill="1" applyBorder="1" applyAlignment="1">
      <alignment vertical="center" wrapText="1"/>
    </xf>
    <xf numFmtId="3" fontId="24" fillId="50" borderId="130" xfId="126" applyNumberFormat="1" applyFont="1" applyFill="1" applyBorder="1" applyAlignment="1" applyProtection="1">
      <alignment vertical="center"/>
      <protection locked="0"/>
    </xf>
    <xf numFmtId="3" fontId="53" fillId="50" borderId="19" xfId="126" applyNumberFormat="1" applyFont="1" applyFill="1" applyBorder="1" applyAlignment="1" applyProtection="1">
      <alignment vertical="center"/>
      <protection locked="0"/>
    </xf>
    <xf numFmtId="3" fontId="24" fillId="50" borderId="19" xfId="126" applyNumberFormat="1" applyFont="1" applyFill="1" applyBorder="1" applyAlignment="1" applyProtection="1">
      <alignment vertical="center"/>
      <protection locked="0"/>
    </xf>
    <xf numFmtId="3" fontId="0" fillId="50" borderId="0" xfId="0" applyNumberFormat="1" applyFill="1" applyAlignment="1">
      <alignment/>
    </xf>
    <xf numFmtId="0" fontId="25" fillId="0" borderId="131" xfId="0" applyFont="1" applyBorder="1" applyAlignment="1">
      <alignment vertical="center"/>
    </xf>
    <xf numFmtId="0" fontId="25" fillId="0" borderId="130" xfId="0" applyFont="1" applyBorder="1" applyAlignment="1">
      <alignment horizontal="center" vertical="center" wrapText="1"/>
    </xf>
    <xf numFmtId="0" fontId="25" fillId="0" borderId="132" xfId="0" applyFont="1" applyBorder="1" applyAlignment="1">
      <alignment horizontal="center" vertical="center" wrapText="1"/>
    </xf>
    <xf numFmtId="0" fontId="24" fillId="0" borderId="126" xfId="0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171" fontId="24" fillId="0" borderId="19" xfId="132" applyNumberFormat="1" applyFont="1" applyBorder="1" applyAlignment="1">
      <alignment vertical="center"/>
    </xf>
    <xf numFmtId="171" fontId="24" fillId="0" borderId="127" xfId="132" applyNumberFormat="1" applyFont="1" applyBorder="1" applyAlignment="1">
      <alignment vertical="center"/>
    </xf>
    <xf numFmtId="0" fontId="24" fillId="0" borderId="133" xfId="0" applyFont="1" applyBorder="1" applyAlignment="1">
      <alignment horizontal="center" vertical="center"/>
    </xf>
    <xf numFmtId="0" fontId="24" fillId="0" borderId="128" xfId="0" applyFont="1" applyBorder="1" applyAlignment="1">
      <alignment horizontal="center" vertical="center" wrapText="1"/>
    </xf>
    <xf numFmtId="0" fontId="24" fillId="0" borderId="128" xfId="0" applyFont="1" applyBorder="1" applyAlignment="1">
      <alignment vertical="center" wrapText="1"/>
    </xf>
    <xf numFmtId="171" fontId="24" fillId="0" borderId="128" xfId="132" applyNumberFormat="1" applyFont="1" applyBorder="1" applyAlignment="1">
      <alignment vertical="center"/>
    </xf>
    <xf numFmtId="171" fontId="24" fillId="0" borderId="129" xfId="13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1" fontId="0" fillId="0" borderId="0" xfId="132" applyNumberFormat="1" applyFont="1" applyAlignment="1">
      <alignment vertical="center"/>
    </xf>
    <xf numFmtId="171" fontId="0" fillId="0" borderId="0" xfId="132" applyNumberFormat="1" applyFont="1" applyAlignment="1">
      <alignment/>
    </xf>
    <xf numFmtId="0" fontId="0" fillId="0" borderId="0" xfId="0" applyAlignment="1">
      <alignment horizontal="center"/>
    </xf>
    <xf numFmtId="168" fontId="50" fillId="47" borderId="107" xfId="80" applyNumberFormat="1" applyFont="1" applyFill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194" fontId="25" fillId="50" borderId="126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 quotePrefix="1">
      <alignment horizontal="center" vertical="center"/>
    </xf>
    <xf numFmtId="168" fontId="24" fillId="0" borderId="63" xfId="80" applyNumberFormat="1" applyFont="1" applyFill="1" applyBorder="1" applyAlignment="1">
      <alignment vertical="center"/>
    </xf>
    <xf numFmtId="168" fontId="24" fillId="0" borderId="105" xfId="0" applyNumberFormat="1" applyFont="1" applyFill="1" applyBorder="1" applyAlignment="1">
      <alignment vertical="center"/>
    </xf>
    <xf numFmtId="168" fontId="24" fillId="0" borderId="134" xfId="0" applyNumberFormat="1" applyFont="1" applyFill="1" applyBorder="1" applyAlignment="1">
      <alignment vertical="center"/>
    </xf>
    <xf numFmtId="0" fontId="24" fillId="0" borderId="52" xfId="0" applyFont="1" applyFill="1" applyBorder="1" applyAlignment="1">
      <alignment wrapText="1"/>
    </xf>
    <xf numFmtId="168" fontId="24" fillId="0" borderId="58" xfId="8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wrapText="1"/>
    </xf>
    <xf numFmtId="0" fontId="24" fillId="0" borderId="27" xfId="0" applyFont="1" applyFill="1" applyBorder="1" applyAlignment="1">
      <alignment vertical="center" wrapText="1"/>
    </xf>
    <xf numFmtId="168" fontId="24" fillId="0" borderId="61" xfId="80" applyNumberFormat="1" applyFont="1" applyFill="1" applyBorder="1" applyAlignment="1">
      <alignment vertical="center"/>
    </xf>
    <xf numFmtId="168" fontId="24" fillId="0" borderId="56" xfId="80" applyNumberFormat="1" applyFont="1" applyFill="1" applyBorder="1" applyAlignment="1">
      <alignment vertical="center"/>
    </xf>
    <xf numFmtId="168" fontId="24" fillId="0" borderId="47" xfId="80" applyNumberFormat="1" applyFont="1" applyFill="1" applyBorder="1" applyAlignment="1">
      <alignment vertical="center"/>
    </xf>
    <xf numFmtId="168" fontId="24" fillId="0" borderId="102" xfId="0" applyNumberFormat="1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 wrapText="1"/>
    </xf>
    <xf numFmtId="168" fontId="24" fillId="0" borderId="44" xfId="80" applyNumberFormat="1" applyFont="1" applyFill="1" applyBorder="1" applyAlignment="1">
      <alignment vertical="center"/>
    </xf>
    <xf numFmtId="168" fontId="24" fillId="0" borderId="135" xfId="80" applyNumberFormat="1" applyFont="1" applyFill="1" applyBorder="1" applyAlignment="1">
      <alignment vertical="center"/>
    </xf>
    <xf numFmtId="168" fontId="24" fillId="0" borderId="45" xfId="80" applyNumberFormat="1" applyFont="1" applyFill="1" applyBorder="1" applyAlignment="1">
      <alignment vertical="center"/>
    </xf>
    <xf numFmtId="168" fontId="24" fillId="0" borderId="19" xfId="0" applyNumberFormat="1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0" xfId="126" applyFont="1">
      <alignment/>
      <protection/>
    </xf>
    <xf numFmtId="0" fontId="23" fillId="0" borderId="0" xfId="126" applyFont="1" applyProtection="1">
      <alignment/>
      <protection locked="0"/>
    </xf>
    <xf numFmtId="0" fontId="24" fillId="50" borderId="0" xfId="126" applyFont="1" applyFill="1">
      <alignment/>
      <protection/>
    </xf>
    <xf numFmtId="0" fontId="25" fillId="0" borderId="136" xfId="126" applyFont="1" applyBorder="1" applyAlignment="1">
      <alignment vertical="center"/>
      <protection/>
    </xf>
    <xf numFmtId="0" fontId="25" fillId="50" borderId="137" xfId="126" applyFont="1" applyFill="1" applyBorder="1" applyAlignment="1">
      <alignment horizontal="center" vertical="center"/>
      <protection/>
    </xf>
    <xf numFmtId="0" fontId="25" fillId="0" borderId="137" xfId="126" applyFont="1" applyBorder="1" applyAlignment="1">
      <alignment horizontal="center" vertical="center"/>
      <protection/>
    </xf>
    <xf numFmtId="0" fontId="25" fillId="0" borderId="138" xfId="126" applyFont="1" applyBorder="1" applyAlignment="1">
      <alignment horizontal="center" vertical="center"/>
      <protection/>
    </xf>
    <xf numFmtId="49" fontId="24" fillId="0" borderId="131" xfId="126" applyNumberFormat="1" applyFont="1" applyBorder="1" applyAlignment="1">
      <alignment vertical="center"/>
      <protection/>
    </xf>
    <xf numFmtId="3" fontId="24" fillId="0" borderId="130" xfId="126" applyNumberFormat="1" applyFont="1" applyBorder="1" applyAlignment="1" applyProtection="1">
      <alignment vertical="center"/>
      <protection locked="0"/>
    </xf>
    <xf numFmtId="3" fontId="24" fillId="0" borderId="132" xfId="126" applyNumberFormat="1" applyFont="1" applyBorder="1" applyAlignment="1">
      <alignment vertical="center"/>
      <protection/>
    </xf>
    <xf numFmtId="49" fontId="53" fillId="0" borderId="126" xfId="126" applyNumberFormat="1" applyFont="1" applyBorder="1" applyAlignment="1" quotePrefix="1">
      <alignment horizontal="left" vertical="center" indent="1"/>
      <protection/>
    </xf>
    <xf numFmtId="3" fontId="53" fillId="0" borderId="19" xfId="126" applyNumberFormat="1" applyFont="1" applyBorder="1" applyAlignment="1" applyProtection="1">
      <alignment vertical="center"/>
      <protection locked="0"/>
    </xf>
    <xf numFmtId="3" fontId="24" fillId="0" borderId="127" xfId="126" applyNumberFormat="1" applyFont="1" applyBorder="1" applyAlignment="1">
      <alignment vertical="center"/>
      <protection/>
    </xf>
    <xf numFmtId="49" fontId="24" fillId="0" borderId="126" xfId="126" applyNumberFormat="1" applyFont="1" applyBorder="1" applyAlignment="1">
      <alignment vertical="center"/>
      <protection/>
    </xf>
    <xf numFmtId="3" fontId="24" fillId="0" borderId="19" xfId="126" applyNumberFormat="1" applyFont="1" applyBorder="1" applyAlignment="1" applyProtection="1">
      <alignment vertical="center"/>
      <protection locked="0"/>
    </xf>
    <xf numFmtId="49" fontId="25" fillId="0" borderId="139" xfId="126" applyNumberFormat="1" applyFont="1" applyBorder="1" applyAlignment="1">
      <alignment vertical="center"/>
      <protection/>
    </xf>
    <xf numFmtId="3" fontId="24" fillId="50" borderId="140" xfId="126" applyNumberFormat="1" applyFont="1" applyFill="1" applyBorder="1" applyAlignment="1">
      <alignment vertical="center"/>
      <protection/>
    </xf>
    <xf numFmtId="3" fontId="24" fillId="0" borderId="140" xfId="126" applyNumberFormat="1" applyFont="1" applyBorder="1" applyAlignment="1">
      <alignment vertical="center"/>
      <protection/>
    </xf>
    <xf numFmtId="3" fontId="24" fillId="0" borderId="141" xfId="126" applyNumberFormat="1" applyFont="1" applyBorder="1" applyAlignment="1">
      <alignment vertical="center"/>
      <protection/>
    </xf>
    <xf numFmtId="0" fontId="24" fillId="0" borderId="0" xfId="126" applyFont="1" applyAlignment="1">
      <alignment vertical="center"/>
      <protection/>
    </xf>
    <xf numFmtId="0" fontId="24" fillId="50" borderId="0" xfId="126" applyFont="1" applyFill="1" applyAlignment="1">
      <alignment vertical="center"/>
      <protection/>
    </xf>
    <xf numFmtId="49" fontId="24" fillId="0" borderId="126" xfId="126" applyNumberFormat="1" applyFont="1" applyBorder="1" applyAlignment="1">
      <alignment horizontal="left" vertical="center"/>
      <protection/>
    </xf>
    <xf numFmtId="3" fontId="24" fillId="50" borderId="141" xfId="126" applyNumberFormat="1" applyFont="1" applyFill="1" applyBorder="1" applyAlignment="1">
      <alignment vertical="center"/>
      <protection/>
    </xf>
    <xf numFmtId="3" fontId="24" fillId="50" borderId="0" xfId="126" applyNumberFormat="1" applyFont="1" applyFill="1">
      <alignment/>
      <protection/>
    </xf>
    <xf numFmtId="3" fontId="24" fillId="0" borderId="132" xfId="126" applyNumberFormat="1" applyFont="1" applyBorder="1" applyAlignment="1" applyProtection="1">
      <alignment vertical="center"/>
      <protection locked="0"/>
    </xf>
    <xf numFmtId="3" fontId="53" fillId="0" borderId="127" xfId="126" applyNumberFormat="1" applyFont="1" applyBorder="1" applyAlignment="1" applyProtection="1">
      <alignment vertical="center"/>
      <protection locked="0"/>
    </xf>
    <xf numFmtId="3" fontId="24" fillId="0" borderId="127" xfId="126" applyNumberFormat="1" applyFont="1" applyBorder="1" applyAlignment="1" applyProtection="1">
      <alignment vertical="center"/>
      <protection locked="0"/>
    </xf>
    <xf numFmtId="0" fontId="49" fillId="0" borderId="0" xfId="126">
      <alignment/>
      <protection/>
    </xf>
    <xf numFmtId="3" fontId="49" fillId="50" borderId="0" xfId="126" applyNumberFormat="1" applyFill="1">
      <alignment/>
      <protection/>
    </xf>
    <xf numFmtId="0" fontId="24" fillId="0" borderId="101" xfId="0" applyFont="1" applyBorder="1" applyAlignment="1">
      <alignment vertical="center" wrapText="1"/>
    </xf>
    <xf numFmtId="171" fontId="24" fillId="0" borderId="101" xfId="132" applyNumberFormat="1" applyFont="1" applyBorder="1" applyAlignment="1">
      <alignment vertical="center"/>
    </xf>
    <xf numFmtId="0" fontId="36" fillId="50" borderId="19" xfId="120" applyFont="1" applyFill="1" applyBorder="1" applyAlignment="1">
      <alignment vertical="center" wrapText="1"/>
      <protection/>
    </xf>
    <xf numFmtId="3" fontId="36" fillId="50" borderId="19" xfId="120" applyNumberFormat="1" applyFont="1" applyFill="1" applyBorder="1" applyAlignment="1">
      <alignment vertical="center" wrapText="1"/>
      <protection/>
    </xf>
    <xf numFmtId="3" fontId="37" fillId="50" borderId="19" xfId="120" applyNumberFormat="1" applyFont="1" applyFill="1" applyBorder="1" applyAlignment="1">
      <alignment vertical="center" wrapText="1"/>
      <protection/>
    </xf>
    <xf numFmtId="194" fontId="52" fillId="50" borderId="19" xfId="0" applyNumberFormat="1" applyFont="1" applyFill="1" applyBorder="1" applyAlignment="1" applyProtection="1">
      <alignment horizontal="left" vertical="center" wrapText="1" indent="1"/>
      <protection locked="0"/>
    </xf>
    <xf numFmtId="194" fontId="24" fillId="50" borderId="19" xfId="0" applyNumberFormat="1" applyFont="1" applyFill="1" applyBorder="1" applyAlignment="1" applyProtection="1">
      <alignment vertical="center" wrapText="1"/>
      <protection locked="0"/>
    </xf>
    <xf numFmtId="194" fontId="52" fillId="50" borderId="19" xfId="0" applyNumberFormat="1" applyFont="1" applyFill="1" applyBorder="1" applyAlignment="1">
      <alignment horizontal="left" vertical="center" wrapText="1" indent="1"/>
    </xf>
    <xf numFmtId="168" fontId="24" fillId="0" borderId="48" xfId="80" applyNumberFormat="1" applyFont="1" applyFill="1" applyBorder="1" applyAlignment="1">
      <alignment horizontal="center" vertical="center" wrapText="1"/>
    </xf>
    <xf numFmtId="168" fontId="24" fillId="0" borderId="61" xfId="8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 quotePrefix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horizontal="center" vertical="center"/>
    </xf>
    <xf numFmtId="168" fontId="25" fillId="0" borderId="36" xfId="80" applyNumberFormat="1" applyFont="1" applyFill="1" applyBorder="1" applyAlignment="1">
      <alignment horizontal="center" vertical="center" wrapText="1"/>
    </xf>
    <xf numFmtId="0" fontId="98" fillId="0" borderId="4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8" fontId="24" fillId="0" borderId="0" xfId="80" applyNumberFormat="1" applyFont="1" applyFill="1" applyAlignment="1">
      <alignment horizontal="center" vertical="center" wrapText="1"/>
    </xf>
    <xf numFmtId="168" fontId="24" fillId="0" borderId="0" xfId="8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0" xfId="0" applyFont="1" applyFill="1" applyBorder="1" applyAlignment="1">
      <alignment horizontal="center" vertical="center" textRotation="90"/>
    </xf>
    <xf numFmtId="0" fontId="24" fillId="0" borderId="30" xfId="0" applyFont="1" applyFill="1" applyBorder="1" applyAlignment="1">
      <alignment horizontal="center" vertical="center" wrapText="1"/>
    </xf>
    <xf numFmtId="168" fontId="24" fillId="0" borderId="27" xfId="80" applyNumberFormat="1" applyFont="1" applyFill="1" applyBorder="1" applyAlignment="1">
      <alignment horizontal="center" vertical="center" wrapText="1"/>
    </xf>
    <xf numFmtId="168" fontId="25" fillId="0" borderId="23" xfId="80" applyNumberFormat="1" applyFont="1" applyFill="1" applyBorder="1" applyAlignment="1">
      <alignment horizontal="center" vertical="center"/>
    </xf>
    <xf numFmtId="168" fontId="25" fillId="0" borderId="36" xfId="80" applyNumberFormat="1" applyFont="1" applyFill="1" applyBorder="1" applyAlignment="1">
      <alignment/>
    </xf>
    <xf numFmtId="0" fontId="24" fillId="0" borderId="28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/>
    </xf>
    <xf numFmtId="0" fontId="24" fillId="0" borderId="61" xfId="0" applyFont="1" applyFill="1" applyBorder="1" applyAlignment="1">
      <alignment vertical="center" wrapText="1"/>
    </xf>
    <xf numFmtId="168" fontId="25" fillId="0" borderId="23" xfId="8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/>
    </xf>
    <xf numFmtId="49" fontId="24" fillId="0" borderId="23" xfId="0" applyNumberFormat="1" applyFont="1" applyFill="1" applyBorder="1" applyAlignment="1">
      <alignment/>
    </xf>
    <xf numFmtId="0" fontId="25" fillId="0" borderId="23" xfId="0" applyFont="1" applyFill="1" applyBorder="1" applyAlignment="1">
      <alignment horizontal="right" vertical="center"/>
    </xf>
    <xf numFmtId="168" fontId="24" fillId="0" borderId="36" xfId="80" applyNumberFormat="1" applyFont="1" applyFill="1" applyBorder="1" applyAlignment="1">
      <alignment/>
    </xf>
    <xf numFmtId="49" fontId="24" fillId="0" borderId="0" xfId="0" applyNumberFormat="1" applyFont="1" applyFill="1" applyAlignment="1">
      <alignment/>
    </xf>
    <xf numFmtId="168" fontId="24" fillId="0" borderId="25" xfId="80" applyNumberFormat="1" applyFont="1" applyFill="1" applyBorder="1" applyAlignment="1">
      <alignment horizontal="center" vertical="center" wrapText="1"/>
    </xf>
    <xf numFmtId="168" fontId="24" fillId="0" borderId="26" xfId="8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 quotePrefix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168" fontId="24" fillId="0" borderId="32" xfId="80" applyNumberFormat="1" applyFont="1" applyFill="1" applyBorder="1" applyAlignment="1">
      <alignment horizontal="center" vertical="center" wrapText="1"/>
    </xf>
    <xf numFmtId="168" fontId="24" fillId="0" borderId="33" xfId="8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 quotePrefix="1">
      <alignment horizontal="center" vertical="center"/>
    </xf>
    <xf numFmtId="168" fontId="24" fillId="0" borderId="36" xfId="8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/>
    </xf>
    <xf numFmtId="168" fontId="25" fillId="0" borderId="57" xfId="80" applyNumberFormat="1" applyFont="1" applyFill="1" applyBorder="1" applyAlignment="1">
      <alignment horizontal="center" vertical="center"/>
    </xf>
    <xf numFmtId="168" fontId="25" fillId="0" borderId="142" xfId="80" applyNumberFormat="1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 quotePrefix="1">
      <alignment horizontal="center" vertical="center"/>
    </xf>
    <xf numFmtId="49" fontId="24" fillId="0" borderId="28" xfId="0" applyNumberFormat="1" applyFont="1" applyFill="1" applyBorder="1" applyAlignment="1" quotePrefix="1">
      <alignment horizontal="center" vertical="center"/>
    </xf>
    <xf numFmtId="49" fontId="24" fillId="0" borderId="37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 quotePrefix="1">
      <alignment horizontal="center" vertical="center"/>
    </xf>
    <xf numFmtId="49" fontId="24" fillId="0" borderId="28" xfId="0" applyNumberFormat="1" applyFont="1" applyFill="1" applyBorder="1" applyAlignment="1">
      <alignment horizontal="left" vertical="center"/>
    </xf>
    <xf numFmtId="0" fontId="24" fillId="0" borderId="27" xfId="0" applyNumberFormat="1" applyFont="1" applyFill="1" applyBorder="1" applyAlignment="1" quotePrefix="1">
      <alignment horizontal="center" vertical="center"/>
    </xf>
    <xf numFmtId="168" fontId="25" fillId="0" borderId="22" xfId="80" applyNumberFormat="1" applyFont="1" applyFill="1" applyBorder="1" applyAlignment="1">
      <alignment vertical="center"/>
    </xf>
    <xf numFmtId="49" fontId="24" fillId="0" borderId="53" xfId="0" applyNumberFormat="1" applyFont="1" applyFill="1" applyBorder="1" applyAlignment="1" quotePrefix="1">
      <alignment horizontal="center" vertical="center"/>
    </xf>
    <xf numFmtId="49" fontId="24" fillId="0" borderId="37" xfId="0" applyNumberFormat="1" applyFont="1" applyFill="1" applyBorder="1" applyAlignment="1" quotePrefix="1">
      <alignment horizontal="center" vertical="center"/>
    </xf>
    <xf numFmtId="49" fontId="24" fillId="0" borderId="28" xfId="0" applyNumberFormat="1" applyFont="1" applyFill="1" applyBorder="1" applyAlignment="1" quotePrefix="1">
      <alignment horizontal="center" vertical="center" wrapText="1"/>
    </xf>
    <xf numFmtId="0" fontId="24" fillId="0" borderId="61" xfId="0" applyFont="1" applyFill="1" applyBorder="1" applyAlignment="1">
      <alignment horizontal="left" vertical="center" wrapText="1"/>
    </xf>
    <xf numFmtId="49" fontId="24" fillId="0" borderId="34" xfId="0" applyNumberFormat="1" applyFont="1" applyFill="1" applyBorder="1" applyAlignment="1" quotePrefix="1">
      <alignment horizontal="center" vertical="center"/>
    </xf>
    <xf numFmtId="0" fontId="24" fillId="0" borderId="30" xfId="0" applyFont="1" applyFill="1" applyBorder="1" applyAlignment="1">
      <alignment horizontal="left" vertical="center" wrapText="1"/>
    </xf>
    <xf numFmtId="168" fontId="24" fillId="0" borderId="30" xfId="80" applyNumberFormat="1" applyFont="1" applyFill="1" applyBorder="1" applyAlignment="1">
      <alignment horizontal="center" vertical="center"/>
    </xf>
    <xf numFmtId="168" fontId="24" fillId="0" borderId="75" xfId="80" applyNumberFormat="1" applyFont="1" applyFill="1" applyBorder="1" applyAlignment="1">
      <alignment horizontal="center" vertical="center"/>
    </xf>
    <xf numFmtId="168" fontId="24" fillId="0" borderId="34" xfId="80" applyNumberFormat="1" applyFont="1" applyFill="1" applyBorder="1" applyAlignment="1">
      <alignment vertical="center"/>
    </xf>
    <xf numFmtId="168" fontId="24" fillId="0" borderId="30" xfId="80" applyNumberFormat="1" applyFont="1" applyFill="1" applyBorder="1" applyAlignment="1">
      <alignment/>
    </xf>
    <xf numFmtId="168" fontId="24" fillId="0" borderId="63" xfId="80" applyNumberFormat="1" applyFont="1" applyFill="1" applyBorder="1" applyAlignment="1">
      <alignment/>
    </xf>
    <xf numFmtId="168" fontId="24" fillId="0" borderId="61" xfId="80" applyNumberFormat="1" applyFont="1" applyFill="1" applyBorder="1" applyAlignment="1">
      <alignment horizontal="center" vertical="center"/>
    </xf>
    <xf numFmtId="168" fontId="24" fillId="0" borderId="71" xfId="80" applyNumberFormat="1" applyFont="1" applyFill="1" applyBorder="1" applyAlignment="1">
      <alignment horizontal="center" vertical="center"/>
    </xf>
    <xf numFmtId="168" fontId="24" fillId="0" borderId="60" xfId="80" applyNumberFormat="1" applyFont="1" applyFill="1" applyBorder="1" applyAlignment="1">
      <alignment vertical="center"/>
    </xf>
    <xf numFmtId="168" fontId="24" fillId="0" borderId="69" xfId="80" applyNumberFormat="1" applyFont="1" applyFill="1" applyBorder="1" applyAlignment="1">
      <alignment/>
    </xf>
    <xf numFmtId="168" fontId="24" fillId="0" borderId="0" xfId="80" applyNumberFormat="1" applyFont="1" applyFill="1" applyBorder="1" applyAlignment="1">
      <alignment/>
    </xf>
    <xf numFmtId="49" fontId="24" fillId="0" borderId="24" xfId="0" applyNumberFormat="1" applyFont="1" applyFill="1" applyBorder="1" applyAlignment="1" quotePrefix="1">
      <alignment horizontal="center" vertical="center"/>
    </xf>
    <xf numFmtId="168" fontId="24" fillId="0" borderId="45" xfId="80" applyNumberFormat="1" applyFont="1" applyFill="1" applyBorder="1" applyAlignment="1">
      <alignment horizontal="center" vertical="center"/>
    </xf>
    <xf numFmtId="168" fontId="24" fillId="0" borderId="30" xfId="80" applyNumberFormat="1" applyFont="1" applyFill="1" applyBorder="1" applyAlignment="1">
      <alignment vertical="center"/>
    </xf>
    <xf numFmtId="49" fontId="24" fillId="0" borderId="25" xfId="0" applyNumberFormat="1" applyFont="1" applyFill="1" applyBorder="1" applyAlignment="1" quotePrefix="1">
      <alignment horizontal="center" vertical="center"/>
    </xf>
    <xf numFmtId="168" fontId="24" fillId="0" borderId="143" xfId="80" applyNumberFormat="1" applyFont="1" applyFill="1" applyBorder="1" applyAlignment="1">
      <alignment vertical="center"/>
    </xf>
    <xf numFmtId="168" fontId="24" fillId="0" borderId="25" xfId="80" applyNumberFormat="1" applyFont="1" applyFill="1" applyBorder="1" applyAlignment="1">
      <alignment horizontal="right" vertical="center"/>
    </xf>
    <xf numFmtId="168" fontId="24" fillId="0" borderId="25" xfId="80" applyNumberFormat="1" applyFont="1" applyFill="1" applyBorder="1" applyAlignment="1">
      <alignment/>
    </xf>
    <xf numFmtId="0" fontId="24" fillId="0" borderId="30" xfId="0" applyFont="1" applyBorder="1" applyAlignment="1">
      <alignment horizontal="left" vertical="center"/>
    </xf>
    <xf numFmtId="168" fontId="25" fillId="0" borderId="30" xfId="80" applyNumberFormat="1" applyFont="1" applyBorder="1" applyAlignment="1">
      <alignment horizontal="center" vertical="center"/>
    </xf>
    <xf numFmtId="168" fontId="25" fillId="0" borderId="59" xfId="80" applyNumberFormat="1" applyFont="1" applyBorder="1" applyAlignment="1">
      <alignment horizontal="center" vertical="center"/>
    </xf>
    <xf numFmtId="168" fontId="25" fillId="0" borderId="75" xfId="80" applyNumberFormat="1" applyFont="1" applyBorder="1" applyAlignment="1">
      <alignment horizontal="center" vertical="center"/>
    </xf>
    <xf numFmtId="168" fontId="24" fillId="0" borderId="30" xfId="80" applyNumberFormat="1" applyFont="1" applyBorder="1" applyAlignment="1">
      <alignment horizontal="center" vertical="center"/>
    </xf>
    <xf numFmtId="168" fontId="24" fillId="0" borderId="35" xfId="8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49" fontId="24" fillId="50" borderId="29" xfId="0" applyNumberFormat="1" applyFont="1" applyFill="1" applyBorder="1" applyAlignment="1" quotePrefix="1">
      <alignment horizontal="center" vertical="center"/>
    </xf>
    <xf numFmtId="49" fontId="24" fillId="50" borderId="56" xfId="0" applyNumberFormat="1" applyFont="1" applyFill="1" applyBorder="1" applyAlignment="1" quotePrefix="1">
      <alignment horizontal="center" vertical="center"/>
    </xf>
    <xf numFmtId="0" fontId="22" fillId="50" borderId="27" xfId="0" applyFont="1" applyFill="1" applyBorder="1" applyAlignment="1">
      <alignment vertical="center" wrapText="1"/>
    </xf>
    <xf numFmtId="49" fontId="24" fillId="50" borderId="24" xfId="0" applyNumberFormat="1" applyFont="1" applyFill="1" applyBorder="1" applyAlignment="1" quotePrefix="1">
      <alignment horizontal="center" vertical="center"/>
    </xf>
    <xf numFmtId="49" fontId="24" fillId="50" borderId="144" xfId="0" applyNumberFormat="1" applyFont="1" applyFill="1" applyBorder="1" applyAlignment="1" quotePrefix="1">
      <alignment horizontal="center" vertical="center"/>
    </xf>
    <xf numFmtId="0" fontId="22" fillId="50" borderId="25" xfId="0" applyFont="1" applyFill="1" applyBorder="1" applyAlignment="1">
      <alignment vertical="center" wrapText="1"/>
    </xf>
    <xf numFmtId="0" fontId="24" fillId="50" borderId="143" xfId="0" applyFont="1" applyFill="1" applyBorder="1" applyAlignment="1">
      <alignment horizontal="center" vertical="center"/>
    </xf>
    <xf numFmtId="168" fontId="24" fillId="50" borderId="25" xfId="80" applyNumberFormat="1" applyFont="1" applyFill="1" applyBorder="1" applyAlignment="1">
      <alignment horizontal="center" vertical="center"/>
    </xf>
    <xf numFmtId="168" fontId="24" fillId="50" borderId="26" xfId="80" applyNumberFormat="1" applyFont="1" applyFill="1" applyBorder="1" applyAlignment="1">
      <alignment horizontal="center" vertical="center"/>
    </xf>
    <xf numFmtId="168" fontId="24" fillId="50" borderId="25" xfId="80" applyNumberFormat="1" applyFont="1" applyFill="1" applyBorder="1" applyAlignment="1">
      <alignment/>
    </xf>
    <xf numFmtId="168" fontId="24" fillId="50" borderId="24" xfId="80" applyNumberFormat="1" applyFont="1" applyFill="1" applyBorder="1" applyAlignment="1">
      <alignment vertical="center"/>
    </xf>
    <xf numFmtId="10" fontId="23" fillId="50" borderId="0" xfId="14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vertical="center"/>
    </xf>
    <xf numFmtId="168" fontId="23" fillId="0" borderId="0" xfId="80" applyNumberFormat="1" applyFont="1" applyFill="1" applyBorder="1" applyAlignment="1">
      <alignment/>
    </xf>
    <xf numFmtId="0" fontId="22" fillId="0" borderId="145" xfId="0" applyFont="1" applyBorder="1" applyAlignment="1">
      <alignment vertical="center" wrapText="1"/>
    </xf>
    <xf numFmtId="171" fontId="22" fillId="0" borderId="145" xfId="132" applyNumberFormat="1" applyFont="1" applyBorder="1" applyAlignment="1">
      <alignment vertical="center"/>
    </xf>
    <xf numFmtId="171" fontId="23" fillId="0" borderId="146" xfId="132" applyNumberFormat="1" applyFont="1" applyBorder="1" applyAlignment="1">
      <alignment vertical="center"/>
    </xf>
    <xf numFmtId="171" fontId="24" fillId="0" borderId="147" xfId="132" applyNumberFormat="1" applyFont="1" applyBorder="1" applyAlignment="1">
      <alignment vertical="center"/>
    </xf>
    <xf numFmtId="171" fontId="24" fillId="0" borderId="148" xfId="132" applyNumberFormat="1" applyFont="1" applyBorder="1" applyAlignment="1">
      <alignment vertical="center"/>
    </xf>
    <xf numFmtId="168" fontId="24" fillId="50" borderId="63" xfId="80" applyNumberFormat="1" applyFont="1" applyFill="1" applyBorder="1" applyAlignment="1">
      <alignment/>
    </xf>
    <xf numFmtId="168" fontId="24" fillId="50" borderId="52" xfId="80" applyNumberFormat="1" applyFont="1" applyFill="1" applyBorder="1" applyAlignment="1">
      <alignment/>
    </xf>
    <xf numFmtId="168" fontId="24" fillId="50" borderId="56" xfId="80" applyNumberFormat="1" applyFont="1" applyFill="1" applyBorder="1" applyAlignment="1">
      <alignment/>
    </xf>
    <xf numFmtId="168" fontId="24" fillId="50" borderId="144" xfId="80" applyNumberFormat="1" applyFont="1" applyFill="1" applyBorder="1" applyAlignment="1">
      <alignment/>
    </xf>
    <xf numFmtId="168" fontId="24" fillId="50" borderId="63" xfId="8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168" fontId="24" fillId="0" borderId="0" xfId="80" applyNumberFormat="1" applyFont="1" applyFill="1" applyBorder="1" applyAlignment="1">
      <alignment vertical="center"/>
    </xf>
    <xf numFmtId="168" fontId="24" fillId="0" borderId="0" xfId="80" applyNumberFormat="1" applyFont="1" applyFill="1" applyBorder="1" applyAlignment="1">
      <alignment horizontal="center" vertical="center"/>
    </xf>
    <xf numFmtId="0" fontId="22" fillId="0" borderId="101" xfId="0" applyFont="1" applyFill="1" applyBorder="1" applyAlignment="1" quotePrefix="1">
      <alignment horizontal="center" vertical="center" wrapText="1"/>
    </xf>
    <xf numFmtId="0" fontId="22" fillId="0" borderId="10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 quotePrefix="1">
      <alignment horizontal="center" vertical="center" wrapText="1"/>
    </xf>
    <xf numFmtId="0" fontId="22" fillId="0" borderId="101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50" borderId="101" xfId="0" applyFont="1" applyFill="1" applyBorder="1" applyAlignment="1">
      <alignment horizontal="center" vertical="center" wrapText="1"/>
    </xf>
    <xf numFmtId="0" fontId="22" fillId="50" borderId="102" xfId="0" applyFont="1" applyFill="1" applyBorder="1" applyAlignment="1">
      <alignment horizontal="center" vertical="center" wrapText="1"/>
    </xf>
    <xf numFmtId="0" fontId="22" fillId="0" borderId="102" xfId="0" applyFont="1" applyFill="1" applyBorder="1" applyAlignment="1" quotePrefix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5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64" fontId="21" fillId="50" borderId="19" xfId="0" applyNumberFormat="1" applyFont="1" applyFill="1" applyBorder="1" applyAlignment="1">
      <alignment horizontal="center" vertical="center" wrapText="1"/>
    </xf>
    <xf numFmtId="0" fontId="22" fillId="0" borderId="74" xfId="0" applyNumberFormat="1" applyFont="1" applyFill="1" applyBorder="1" applyAlignment="1">
      <alignment horizontal="center" vertical="center" wrapText="1"/>
    </xf>
    <xf numFmtId="0" fontId="22" fillId="0" borderId="50" xfId="0" applyNumberFormat="1" applyFont="1" applyFill="1" applyBorder="1" applyAlignment="1">
      <alignment horizontal="center" vertical="center" wrapText="1"/>
    </xf>
    <xf numFmtId="0" fontId="20" fillId="50" borderId="101" xfId="0" applyFont="1" applyFill="1" applyBorder="1" applyAlignment="1">
      <alignment horizontal="center" vertical="center" wrapText="1"/>
    </xf>
    <xf numFmtId="0" fontId="20" fillId="50" borderId="102" xfId="0" applyFont="1" applyFill="1" applyBorder="1" applyAlignment="1">
      <alignment horizontal="center" vertical="center" wrapText="1"/>
    </xf>
    <xf numFmtId="0" fontId="22" fillId="0" borderId="101" xfId="0" applyNumberFormat="1" applyFont="1" applyFill="1" applyBorder="1" applyAlignment="1">
      <alignment horizontal="center" vertical="center" wrapText="1"/>
    </xf>
    <xf numFmtId="0" fontId="22" fillId="0" borderId="102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50" borderId="74" xfId="0" applyFont="1" applyFill="1" applyBorder="1" applyAlignment="1">
      <alignment horizontal="center" vertical="center" wrapText="1"/>
    </xf>
    <xf numFmtId="0" fontId="22" fillId="50" borderId="5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 quotePrefix="1">
      <alignment horizontal="center" vertical="center" wrapText="1"/>
    </xf>
    <xf numFmtId="164" fontId="21" fillId="47" borderId="19" xfId="123" applyNumberFormat="1" applyFont="1" applyFill="1" applyBorder="1" applyAlignment="1">
      <alignment horizontal="center" vertical="center" wrapText="1"/>
      <protection/>
    </xf>
    <xf numFmtId="0" fontId="23" fillId="47" borderId="19" xfId="123" applyFont="1" applyFill="1" applyBorder="1" applyAlignment="1">
      <alignment horizontal="center" vertical="center"/>
      <protection/>
    </xf>
    <xf numFmtId="168" fontId="20" fillId="47" borderId="19" xfId="89" applyNumberFormat="1" applyFont="1" applyFill="1" applyBorder="1" applyAlignment="1">
      <alignment horizontal="center" vertical="center" wrapText="1"/>
    </xf>
    <xf numFmtId="168" fontId="22" fillId="50" borderId="19" xfId="89" applyNumberFormat="1" applyFont="1" applyFill="1" applyBorder="1" applyAlignment="1">
      <alignment horizontal="center" vertical="center" wrapText="1"/>
    </xf>
    <xf numFmtId="168" fontId="22" fillId="47" borderId="101" xfId="89" applyNumberFormat="1" applyFont="1" applyFill="1" applyBorder="1" applyAlignment="1" quotePrefix="1">
      <alignment horizontal="center" vertical="center" wrapText="1"/>
    </xf>
    <xf numFmtId="168" fontId="22" fillId="47" borderId="102" xfId="89" applyNumberFormat="1" applyFont="1" applyFill="1" applyBorder="1" applyAlignment="1" quotePrefix="1">
      <alignment horizontal="center" vertical="center" wrapText="1"/>
    </xf>
    <xf numFmtId="168" fontId="22" fillId="47" borderId="43" xfId="89" applyNumberFormat="1" applyFont="1" applyFill="1" applyBorder="1" applyAlignment="1">
      <alignment horizontal="center" vertical="center" wrapText="1"/>
    </xf>
    <xf numFmtId="168" fontId="22" fillId="47" borderId="38" xfId="89" applyNumberFormat="1" applyFont="1" applyFill="1" applyBorder="1" applyAlignment="1">
      <alignment horizontal="center" vertical="center" wrapText="1"/>
    </xf>
    <xf numFmtId="168" fontId="22" fillId="50" borderId="101" xfId="89" applyNumberFormat="1" applyFont="1" applyFill="1" applyBorder="1" applyAlignment="1" quotePrefix="1">
      <alignment horizontal="center" vertical="center" wrapText="1"/>
    </xf>
    <xf numFmtId="168" fontId="22" fillId="50" borderId="102" xfId="89" applyNumberFormat="1" applyFont="1" applyFill="1" applyBorder="1" applyAlignment="1">
      <alignment horizontal="center" vertical="center" wrapText="1"/>
    </xf>
    <xf numFmtId="168" fontId="22" fillId="47" borderId="39" xfId="89" applyNumberFormat="1" applyFont="1" applyFill="1" applyBorder="1" applyAlignment="1">
      <alignment horizontal="center" vertical="center" wrapText="1"/>
    </xf>
    <xf numFmtId="168" fontId="20" fillId="47" borderId="101" xfId="89" applyNumberFormat="1" applyFont="1" applyFill="1" applyBorder="1" applyAlignment="1">
      <alignment horizontal="center" vertical="center" wrapText="1"/>
    </xf>
    <xf numFmtId="168" fontId="20" fillId="47" borderId="102" xfId="89" applyNumberFormat="1" applyFont="1" applyFill="1" applyBorder="1" applyAlignment="1">
      <alignment horizontal="center" vertical="center" wrapText="1"/>
    </xf>
    <xf numFmtId="168" fontId="20" fillId="47" borderId="101" xfId="89" applyNumberFormat="1" applyFont="1" applyFill="1" applyBorder="1" applyAlignment="1" quotePrefix="1">
      <alignment horizontal="center" vertical="center" wrapText="1"/>
    </xf>
    <xf numFmtId="168" fontId="20" fillId="47" borderId="102" xfId="89" applyNumberFormat="1" applyFont="1" applyFill="1" applyBorder="1" applyAlignment="1" quotePrefix="1">
      <alignment horizontal="center" vertical="center" wrapText="1"/>
    </xf>
    <xf numFmtId="168" fontId="22" fillId="47" borderId="101" xfId="89" applyNumberFormat="1" applyFont="1" applyFill="1" applyBorder="1" applyAlignment="1">
      <alignment horizontal="center" vertical="center" wrapText="1"/>
    </xf>
    <xf numFmtId="168" fontId="22" fillId="0" borderId="19" xfId="89" applyNumberFormat="1" applyFont="1" applyFill="1" applyBorder="1" applyAlignment="1">
      <alignment horizontal="center" vertical="center" wrapText="1"/>
    </xf>
    <xf numFmtId="168" fontId="22" fillId="47" borderId="74" xfId="89" applyNumberFormat="1" applyFont="1" applyFill="1" applyBorder="1" applyAlignment="1">
      <alignment horizontal="center" vertical="center" wrapText="1"/>
    </xf>
    <xf numFmtId="168" fontId="22" fillId="47" borderId="50" xfId="89" applyNumberFormat="1" applyFont="1" applyFill="1" applyBorder="1" applyAlignment="1">
      <alignment horizontal="center" vertical="center" wrapText="1"/>
    </xf>
    <xf numFmtId="168" fontId="22" fillId="47" borderId="125" xfId="89" applyNumberFormat="1" applyFont="1" applyFill="1" applyBorder="1" applyAlignment="1">
      <alignment horizontal="center" vertical="center" wrapText="1"/>
    </xf>
    <xf numFmtId="168" fontId="22" fillId="47" borderId="51" xfId="89" applyNumberFormat="1" applyFont="1" applyFill="1" applyBorder="1" applyAlignment="1">
      <alignment horizontal="center" vertical="center" wrapText="1"/>
    </xf>
    <xf numFmtId="0" fontId="23" fillId="47" borderId="19" xfId="124" applyFont="1" applyFill="1" applyBorder="1" applyAlignment="1">
      <alignment horizontal="center" vertical="center"/>
      <protection/>
    </xf>
    <xf numFmtId="168" fontId="22" fillId="50" borderId="19" xfId="90" applyNumberFormat="1" applyFont="1" applyFill="1" applyBorder="1" applyAlignment="1">
      <alignment horizontal="center" vertical="center" wrapText="1"/>
    </xf>
    <xf numFmtId="168" fontId="22" fillId="47" borderId="101" xfId="90" applyNumberFormat="1" applyFont="1" applyFill="1" applyBorder="1" applyAlignment="1">
      <alignment horizontal="center" vertical="center" wrapText="1"/>
    </xf>
    <xf numFmtId="168" fontId="22" fillId="47" borderId="102" xfId="90" applyNumberFormat="1" applyFont="1" applyFill="1" applyBorder="1" applyAlignment="1">
      <alignment horizontal="center" vertical="center" wrapText="1"/>
    </xf>
    <xf numFmtId="0" fontId="23" fillId="47" borderId="74" xfId="124" applyFont="1" applyFill="1" applyBorder="1" applyAlignment="1">
      <alignment horizontal="center" vertical="center"/>
      <protection/>
    </xf>
    <xf numFmtId="0" fontId="23" fillId="47" borderId="42" xfId="124" applyFont="1" applyFill="1" applyBorder="1" applyAlignment="1">
      <alignment horizontal="center" vertical="center"/>
      <protection/>
    </xf>
    <xf numFmtId="0" fontId="23" fillId="47" borderId="125" xfId="124" applyFont="1" applyFill="1" applyBorder="1" applyAlignment="1">
      <alignment horizontal="center" vertical="center"/>
      <protection/>
    </xf>
    <xf numFmtId="168" fontId="22" fillId="47" borderId="43" xfId="90" applyNumberFormat="1" applyFont="1" applyFill="1" applyBorder="1" applyAlignment="1">
      <alignment horizontal="center" vertical="center" wrapText="1"/>
    </xf>
    <xf numFmtId="168" fontId="22" fillId="47" borderId="38" xfId="90" applyNumberFormat="1" applyFont="1" applyFill="1" applyBorder="1" applyAlignment="1">
      <alignment horizontal="center" vertical="center" wrapText="1"/>
    </xf>
    <xf numFmtId="164" fontId="21" fillId="47" borderId="19" xfId="124" applyNumberFormat="1" applyFont="1" applyFill="1" applyBorder="1" applyAlignment="1">
      <alignment horizontal="center" vertical="center" wrapText="1"/>
      <protection/>
    </xf>
    <xf numFmtId="168" fontId="20" fillId="47" borderId="102" xfId="90" applyNumberFormat="1" applyFont="1" applyFill="1" applyBorder="1" applyAlignment="1">
      <alignment horizontal="center" vertical="center" wrapText="1"/>
    </xf>
    <xf numFmtId="168" fontId="20" fillId="47" borderId="19" xfId="90" applyNumberFormat="1" applyFont="1" applyFill="1" applyBorder="1" applyAlignment="1">
      <alignment horizontal="center" vertical="center" wrapText="1"/>
    </xf>
    <xf numFmtId="168" fontId="22" fillId="47" borderId="101" xfId="90" applyNumberFormat="1" applyFont="1" applyFill="1" applyBorder="1" applyAlignment="1" quotePrefix="1">
      <alignment horizontal="center" vertical="center" wrapText="1"/>
    </xf>
    <xf numFmtId="168" fontId="22" fillId="47" borderId="102" xfId="90" applyNumberFormat="1" applyFont="1" applyFill="1" applyBorder="1" applyAlignment="1" quotePrefix="1">
      <alignment horizontal="center" vertical="center" wrapText="1"/>
    </xf>
    <xf numFmtId="0" fontId="22" fillId="50" borderId="19" xfId="0" applyFont="1" applyFill="1" applyBorder="1" applyAlignment="1">
      <alignment horizontal="center" vertical="center" wrapText="1"/>
    </xf>
    <xf numFmtId="0" fontId="22" fillId="50" borderId="107" xfId="0" applyFont="1" applyFill="1" applyBorder="1" applyAlignment="1">
      <alignment horizontal="center" vertical="center" wrapText="1"/>
    </xf>
    <xf numFmtId="0" fontId="22" fillId="50" borderId="43" xfId="0" applyFont="1" applyFill="1" applyBorder="1" applyAlignment="1">
      <alignment horizontal="center" vertical="center" wrapText="1"/>
    </xf>
    <xf numFmtId="0" fontId="22" fillId="50" borderId="38" xfId="0" applyFont="1" applyFill="1" applyBorder="1" applyAlignment="1">
      <alignment horizontal="center" vertical="center" wrapText="1"/>
    </xf>
    <xf numFmtId="0" fontId="22" fillId="50" borderId="39" xfId="0" applyFont="1" applyFill="1" applyBorder="1" applyAlignment="1">
      <alignment horizontal="center" vertical="center" wrapText="1"/>
    </xf>
    <xf numFmtId="0" fontId="40" fillId="47" borderId="0" xfId="0" applyFont="1" applyFill="1" applyAlignment="1">
      <alignment horizontal="center" vertical="center"/>
    </xf>
    <xf numFmtId="0" fontId="25" fillId="47" borderId="68" xfId="0" applyFont="1" applyFill="1" applyBorder="1" applyAlignment="1">
      <alignment horizontal="center" wrapText="1"/>
    </xf>
    <xf numFmtId="0" fontId="25" fillId="47" borderId="44" xfId="0" applyFont="1" applyFill="1" applyBorder="1" applyAlignment="1">
      <alignment horizontal="center" wrapText="1"/>
    </xf>
    <xf numFmtId="0" fontId="25" fillId="47" borderId="22" xfId="0" applyFont="1" applyFill="1" applyBorder="1" applyAlignment="1">
      <alignment horizontal="center" vertical="center"/>
    </xf>
    <xf numFmtId="0" fontId="25" fillId="47" borderId="23" xfId="0" applyFont="1" applyFill="1" applyBorder="1" applyAlignment="1">
      <alignment horizontal="center" vertical="center"/>
    </xf>
    <xf numFmtId="0" fontId="24" fillId="47" borderId="0" xfId="0" applyFont="1" applyFill="1" applyAlignment="1">
      <alignment horizontal="center" vertical="center"/>
    </xf>
    <xf numFmtId="0" fontId="25" fillId="47" borderId="43" xfId="0" applyFont="1" applyFill="1" applyBorder="1" applyAlignment="1">
      <alignment horizontal="center" vertical="center"/>
    </xf>
    <xf numFmtId="0" fontId="25" fillId="47" borderId="38" xfId="0" applyFont="1" applyFill="1" applyBorder="1" applyAlignment="1">
      <alignment horizontal="center" vertical="center"/>
    </xf>
    <xf numFmtId="0" fontId="25" fillId="47" borderId="57" xfId="0" applyFont="1" applyFill="1" applyBorder="1" applyAlignment="1">
      <alignment horizontal="center" vertical="center"/>
    </xf>
    <xf numFmtId="168" fontId="25" fillId="47" borderId="142" xfId="80" applyNumberFormat="1" applyFont="1" applyFill="1" applyBorder="1" applyAlignment="1">
      <alignment horizontal="center" vertical="center"/>
    </xf>
    <xf numFmtId="168" fontId="25" fillId="47" borderId="38" xfId="80" applyNumberFormat="1" applyFont="1" applyFill="1" applyBorder="1" applyAlignment="1">
      <alignment horizontal="center" vertical="center"/>
    </xf>
    <xf numFmtId="168" fontId="25" fillId="47" borderId="39" xfId="80" applyNumberFormat="1" applyFont="1" applyFill="1" applyBorder="1" applyAlignment="1">
      <alignment horizontal="center" vertical="center"/>
    </xf>
    <xf numFmtId="0" fontId="25" fillId="47" borderId="68" xfId="0" applyFont="1" applyFill="1" applyBorder="1" applyAlignment="1">
      <alignment horizontal="right" vertical="center"/>
    </xf>
    <xf numFmtId="0" fontId="25" fillId="47" borderId="44" xfId="0" applyFont="1" applyFill="1" applyBorder="1" applyAlignment="1">
      <alignment horizontal="right" vertical="center"/>
    </xf>
    <xf numFmtId="0" fontId="25" fillId="47" borderId="19" xfId="0" applyFont="1" applyFill="1" applyBorder="1" applyAlignment="1">
      <alignment horizontal="center" wrapText="1"/>
    </xf>
    <xf numFmtId="0" fontId="24" fillId="47" borderId="24" xfId="0" applyFont="1" applyFill="1" applyBorder="1" applyAlignment="1">
      <alignment horizontal="center" vertical="center"/>
    </xf>
    <xf numFmtId="0" fontId="24" fillId="47" borderId="25" xfId="0" applyFont="1" applyFill="1" applyBorder="1" applyAlignment="1">
      <alignment horizontal="center" vertical="center"/>
    </xf>
    <xf numFmtId="49" fontId="25" fillId="47" borderId="22" xfId="0" applyNumberFormat="1" applyFont="1" applyFill="1" applyBorder="1" applyAlignment="1">
      <alignment horizontal="center" vertical="center"/>
    </xf>
    <xf numFmtId="49" fontId="25" fillId="47" borderId="23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4" fillId="0" borderId="149" xfId="0" applyFont="1" applyFill="1" applyBorder="1" applyAlignment="1">
      <alignment horizontal="center" vertical="center"/>
    </xf>
    <xf numFmtId="0" fontId="24" fillId="0" borderId="150" xfId="0" applyFont="1" applyFill="1" applyBorder="1" applyAlignment="1">
      <alignment horizontal="center" vertical="center"/>
    </xf>
    <xf numFmtId="0" fontId="24" fillId="0" borderId="14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5" fillId="0" borderId="22" xfId="0" applyFont="1" applyFill="1" applyBorder="1" applyAlignment="1" quotePrefix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 quotePrefix="1">
      <alignment horizontal="center" vertical="center"/>
    </xf>
    <xf numFmtId="49" fontId="24" fillId="0" borderId="53" xfId="0" applyNumberFormat="1" applyFont="1" applyFill="1" applyBorder="1" applyAlignment="1" quotePrefix="1">
      <alignment horizontal="center" vertical="center"/>
    </xf>
    <xf numFmtId="0" fontId="24" fillId="0" borderId="2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5" fillId="0" borderId="151" xfId="0" applyFont="1" applyBorder="1" applyAlignment="1">
      <alignment horizontal="center"/>
    </xf>
    <xf numFmtId="0" fontId="25" fillId="0" borderId="83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49" fontId="24" fillId="0" borderId="27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40" fillId="50" borderId="0" xfId="0" applyFont="1" applyFill="1" applyAlignment="1">
      <alignment horizontal="center" vertical="center"/>
    </xf>
    <xf numFmtId="0" fontId="24" fillId="50" borderId="0" xfId="0" applyFont="1" applyFill="1" applyAlignment="1">
      <alignment horizontal="center" vertical="center"/>
    </xf>
    <xf numFmtId="0" fontId="24" fillId="50" borderId="105" xfId="0" applyFont="1" applyFill="1" applyBorder="1" applyAlignment="1">
      <alignment horizontal="center" vertical="center" wrapText="1"/>
    </xf>
    <xf numFmtId="0" fontId="24" fillId="50" borderId="106" xfId="0" applyFont="1" applyFill="1" applyBorder="1" applyAlignment="1">
      <alignment horizontal="center" vertical="center" wrapText="1"/>
    </xf>
    <xf numFmtId="0" fontId="24" fillId="50" borderId="35" xfId="0" applyFont="1" applyFill="1" applyBorder="1" applyAlignment="1">
      <alignment horizontal="center" vertical="center" wrapText="1"/>
    </xf>
    <xf numFmtId="0" fontId="24" fillId="50" borderId="49" xfId="0" applyFont="1" applyFill="1" applyBorder="1" applyAlignment="1">
      <alignment horizontal="center" vertical="center" wrapText="1"/>
    </xf>
    <xf numFmtId="0" fontId="24" fillId="50" borderId="26" xfId="0" applyFont="1" applyFill="1" applyBorder="1" applyAlignment="1">
      <alignment horizontal="center" vertical="center" wrapText="1"/>
    </xf>
    <xf numFmtId="0" fontId="24" fillId="50" borderId="21" xfId="0" applyFont="1" applyFill="1" applyBorder="1" applyAlignment="1">
      <alignment horizontal="center" vertical="center" wrapText="1"/>
    </xf>
    <xf numFmtId="0" fontId="24" fillId="50" borderId="25" xfId="0" applyFont="1" applyFill="1" applyBorder="1" applyAlignment="1">
      <alignment horizontal="center" vertical="center" wrapText="1"/>
    </xf>
    <xf numFmtId="0" fontId="24" fillId="50" borderId="105" xfId="0" applyFont="1" applyFill="1" applyBorder="1" applyAlignment="1">
      <alignment horizontal="center" vertical="center" textRotation="90" wrapText="1"/>
    </xf>
    <xf numFmtId="0" fontId="24" fillId="50" borderId="106" xfId="0" applyFont="1" applyFill="1" applyBorder="1" applyAlignment="1">
      <alignment horizontal="center" vertical="center" textRotation="90" wrapText="1"/>
    </xf>
    <xf numFmtId="0" fontId="24" fillId="50" borderId="27" xfId="0" applyFont="1" applyFill="1" applyBorder="1" applyAlignment="1">
      <alignment horizontal="center" vertical="center" wrapText="1"/>
    </xf>
    <xf numFmtId="0" fontId="24" fillId="50" borderId="44" xfId="0" applyFont="1" applyFill="1" applyBorder="1" applyAlignment="1">
      <alignment horizontal="center" vertical="center" wrapText="1"/>
    </xf>
    <xf numFmtId="0" fontId="24" fillId="50" borderId="22" xfId="0" applyFont="1" applyFill="1" applyBorder="1" applyAlignment="1">
      <alignment horizontal="center" vertical="center"/>
    </xf>
    <xf numFmtId="0" fontId="24" fillId="50" borderId="23" xfId="0" applyFont="1" applyFill="1" applyBorder="1" applyAlignment="1">
      <alignment horizontal="center" vertical="center"/>
    </xf>
    <xf numFmtId="0" fontId="24" fillId="50" borderId="36" xfId="0" applyFont="1" applyFill="1" applyBorder="1" applyAlignment="1">
      <alignment horizontal="center" vertical="center"/>
    </xf>
    <xf numFmtId="0" fontId="24" fillId="50" borderId="37" xfId="0" applyFont="1" applyFill="1" applyBorder="1" applyAlignment="1">
      <alignment horizontal="center" vertical="center" wrapText="1"/>
    </xf>
    <xf numFmtId="0" fontId="24" fillId="50" borderId="24" xfId="0" applyFont="1" applyFill="1" applyBorder="1" applyAlignment="1">
      <alignment horizontal="center" vertical="center" wrapText="1"/>
    </xf>
    <xf numFmtId="0" fontId="25" fillId="50" borderId="151" xfId="0" applyFont="1" applyFill="1" applyBorder="1" applyAlignment="1">
      <alignment horizontal="center" vertical="center"/>
    </xf>
    <xf numFmtId="0" fontId="25" fillId="50" borderId="83" xfId="0" applyFont="1" applyFill="1" applyBorder="1" applyAlignment="1">
      <alignment horizontal="center" vertical="center"/>
    </xf>
    <xf numFmtId="0" fontId="25" fillId="50" borderId="59" xfId="0" applyFont="1" applyFill="1" applyBorder="1" applyAlignment="1">
      <alignment horizontal="center" vertical="center"/>
    </xf>
    <xf numFmtId="0" fontId="25" fillId="47" borderId="43" xfId="0" applyFont="1" applyFill="1" applyBorder="1" applyAlignment="1">
      <alignment horizontal="center" wrapText="1"/>
    </xf>
    <xf numFmtId="0" fontId="25" fillId="47" borderId="38" xfId="0" applyFont="1" applyFill="1" applyBorder="1" applyAlignment="1">
      <alignment horizontal="center" wrapText="1"/>
    </xf>
    <xf numFmtId="0" fontId="25" fillId="47" borderId="39" xfId="0" applyFont="1" applyFill="1" applyBorder="1" applyAlignment="1">
      <alignment horizontal="center" wrapText="1"/>
    </xf>
    <xf numFmtId="0" fontId="23" fillId="47" borderId="22" xfId="0" applyFont="1" applyFill="1" applyBorder="1" applyAlignment="1">
      <alignment horizontal="center" vertical="center"/>
    </xf>
    <xf numFmtId="0" fontId="23" fillId="47" borderId="23" xfId="0" applyFont="1" applyFill="1" applyBorder="1" applyAlignment="1">
      <alignment horizontal="center" vertical="center"/>
    </xf>
    <xf numFmtId="0" fontId="25" fillId="47" borderId="74" xfId="0" applyFont="1" applyFill="1" applyBorder="1" applyAlignment="1">
      <alignment horizontal="center" vertical="center"/>
    </xf>
    <xf numFmtId="0" fontId="25" fillId="47" borderId="42" xfId="0" applyFont="1" applyFill="1" applyBorder="1" applyAlignment="1">
      <alignment horizontal="center" vertical="center"/>
    </xf>
    <xf numFmtId="0" fontId="22" fillId="47" borderId="0" xfId="0" applyFont="1" applyFill="1" applyAlignment="1">
      <alignment horizontal="left" vertical="top" wrapText="1"/>
    </xf>
    <xf numFmtId="0" fontId="24" fillId="47" borderId="38" xfId="0" applyFont="1" applyFill="1" applyBorder="1" applyAlignment="1">
      <alignment horizontal="center" vertical="center"/>
    </xf>
    <xf numFmtId="0" fontId="24" fillId="47" borderId="39" xfId="0" applyFont="1" applyFill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 wrapText="1"/>
    </xf>
    <xf numFmtId="0" fontId="24" fillId="0" borderId="102" xfId="0" applyFont="1" applyBorder="1" applyAlignment="1">
      <alignment horizontal="center" vertical="center" wrapText="1"/>
    </xf>
    <xf numFmtId="0" fontId="24" fillId="47" borderId="74" xfId="0" applyFont="1" applyFill="1" applyBorder="1" applyAlignment="1">
      <alignment horizontal="center" vertical="center" textRotation="90" wrapText="1"/>
    </xf>
    <xf numFmtId="0" fontId="24" fillId="47" borderId="41" xfId="0" applyFont="1" applyFill="1" applyBorder="1" applyAlignment="1">
      <alignment horizontal="center" vertical="center" textRotation="90" wrapText="1"/>
    </xf>
    <xf numFmtId="0" fontId="24" fillId="47" borderId="50" xfId="0" applyFont="1" applyFill="1" applyBorder="1" applyAlignment="1">
      <alignment horizontal="center" vertical="center" textRotation="90" wrapText="1"/>
    </xf>
    <xf numFmtId="0" fontId="24" fillId="0" borderId="38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textRotation="90" wrapText="1"/>
    </xf>
    <xf numFmtId="0" fontId="24" fillId="0" borderId="10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/>
    </xf>
    <xf numFmtId="0" fontId="24" fillId="47" borderId="19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5" fontId="46" fillId="47" borderId="21" xfId="115" applyNumberFormat="1" applyFont="1" applyFill="1" applyBorder="1" applyAlignment="1">
      <alignment horizontal="right"/>
      <protection/>
    </xf>
    <xf numFmtId="5" fontId="46" fillId="47" borderId="49" xfId="115" applyNumberFormat="1" applyFont="1" applyFill="1" applyBorder="1" applyAlignment="1">
      <alignment horizontal="right"/>
      <protection/>
    </xf>
    <xf numFmtId="5" fontId="46" fillId="0" borderId="21" xfId="115" applyNumberFormat="1" applyFont="1" applyFill="1" applyBorder="1" applyAlignment="1">
      <alignment horizontal="right"/>
      <protection/>
    </xf>
    <xf numFmtId="5" fontId="46" fillId="0" borderId="49" xfId="115" applyNumberFormat="1" applyFont="1" applyFill="1" applyBorder="1" applyAlignment="1">
      <alignment horizontal="right"/>
      <protection/>
    </xf>
    <xf numFmtId="169" fontId="1" fillId="0" borderId="52" xfId="83" applyNumberFormat="1" applyFont="1" applyFill="1" applyBorder="1" applyAlignment="1">
      <alignment horizontal="center"/>
    </xf>
    <xf numFmtId="169" fontId="1" fillId="0" borderId="67" xfId="83" applyNumberFormat="1" applyFont="1" applyFill="1" applyBorder="1" applyAlignment="1">
      <alignment horizontal="center"/>
    </xf>
    <xf numFmtId="170" fontId="18" fillId="0" borderId="21" xfId="115" applyNumberFormat="1" applyFont="1" applyFill="1" applyBorder="1" applyAlignment="1">
      <alignment horizontal="right"/>
      <protection/>
    </xf>
    <xf numFmtId="170" fontId="18" fillId="0" borderId="49" xfId="115" applyNumberFormat="1" applyFont="1" applyFill="1" applyBorder="1" applyAlignment="1">
      <alignment horizontal="right"/>
      <protection/>
    </xf>
    <xf numFmtId="5" fontId="18" fillId="48" borderId="52" xfId="83" applyNumberFormat="1" applyFont="1" applyFill="1" applyBorder="1" applyAlignment="1">
      <alignment horizontal="center"/>
    </xf>
    <xf numFmtId="5" fontId="18" fillId="48" borderId="67" xfId="83" applyNumberFormat="1" applyFont="1" applyFill="1" applyBorder="1" applyAlignment="1">
      <alignment horizontal="center"/>
    </xf>
    <xf numFmtId="169" fontId="82" fillId="0" borderId="52" xfId="83" applyNumberFormat="1" applyFont="1" applyFill="1" applyBorder="1" applyAlignment="1">
      <alignment horizontal="center"/>
    </xf>
    <xf numFmtId="169" fontId="82" fillId="0" borderId="67" xfId="83" applyNumberFormat="1" applyFont="1" applyFill="1" applyBorder="1" applyAlignment="1">
      <alignment horizontal="center"/>
    </xf>
    <xf numFmtId="5" fontId="18" fillId="47" borderId="21" xfId="83" applyNumberFormat="1" applyFont="1" applyFill="1" applyBorder="1" applyAlignment="1">
      <alignment horizontal="right"/>
    </xf>
    <xf numFmtId="5" fontId="18" fillId="47" borderId="49" xfId="83" applyNumberFormat="1" applyFont="1" applyFill="1" applyBorder="1" applyAlignment="1">
      <alignment horizontal="right"/>
    </xf>
    <xf numFmtId="170" fontId="46" fillId="0" borderId="21" xfId="115" applyNumberFormat="1" applyFont="1" applyFill="1" applyBorder="1" applyAlignment="1">
      <alignment horizontal="right"/>
      <protection/>
    </xf>
    <xf numFmtId="170" fontId="46" fillId="0" borderId="49" xfId="115" applyNumberFormat="1" applyFont="1" applyFill="1" applyBorder="1" applyAlignment="1">
      <alignment horizontal="right"/>
      <protection/>
    </xf>
    <xf numFmtId="0" fontId="47" fillId="0" borderId="0" xfId="0" applyFont="1" applyAlignment="1">
      <alignment horizontal="center"/>
    </xf>
    <xf numFmtId="0" fontId="43" fillId="0" borderId="22" xfId="115" applyFont="1" applyBorder="1" applyAlignment="1">
      <alignment horizontal="center" wrapText="1"/>
      <protection/>
    </xf>
    <xf numFmtId="0" fontId="43" fillId="0" borderId="23" xfId="115" applyFont="1" applyBorder="1" applyAlignment="1">
      <alignment horizontal="center" wrapText="1"/>
      <protection/>
    </xf>
    <xf numFmtId="0" fontId="43" fillId="0" borderId="36" xfId="115" applyFont="1" applyBorder="1" applyAlignment="1">
      <alignment horizontal="center" wrapText="1"/>
      <protection/>
    </xf>
    <xf numFmtId="5" fontId="44" fillId="47" borderId="30" xfId="115" applyNumberFormat="1" applyFont="1" applyFill="1" applyBorder="1" applyAlignment="1">
      <alignment horizontal="right" vertical="center" wrapText="1"/>
      <protection/>
    </xf>
    <xf numFmtId="5" fontId="44" fillId="47" borderId="35" xfId="115" applyNumberFormat="1" applyFont="1" applyFill="1" applyBorder="1" applyAlignment="1">
      <alignment horizontal="right" vertical="center" wrapText="1"/>
      <protection/>
    </xf>
    <xf numFmtId="5" fontId="45" fillId="47" borderId="52" xfId="115" applyNumberFormat="1" applyFont="1" applyFill="1" applyBorder="1" applyAlignment="1">
      <alignment horizontal="right" vertical="center" wrapText="1"/>
      <protection/>
    </xf>
    <xf numFmtId="5" fontId="45" fillId="47" borderId="67" xfId="115" applyNumberFormat="1" applyFont="1" applyFill="1" applyBorder="1" applyAlignment="1">
      <alignment horizontal="right" vertical="center" wrapText="1"/>
      <protection/>
    </xf>
    <xf numFmtId="5" fontId="45" fillId="47" borderId="66" xfId="115" applyNumberFormat="1" applyFont="1" applyFill="1" applyBorder="1" applyAlignment="1">
      <alignment horizontal="right" vertical="center" wrapText="1"/>
      <protection/>
    </xf>
    <xf numFmtId="5" fontId="45" fillId="47" borderId="21" xfId="115" applyNumberFormat="1" applyFont="1" applyFill="1" applyBorder="1" applyAlignment="1">
      <alignment horizontal="right" vertical="center" wrapText="1"/>
      <protection/>
    </xf>
    <xf numFmtId="5" fontId="45" fillId="47" borderId="49" xfId="115" applyNumberFormat="1" applyFont="1" applyFill="1" applyBorder="1" applyAlignment="1">
      <alignment horizontal="right" vertical="center" wrapText="1"/>
      <protection/>
    </xf>
    <xf numFmtId="5" fontId="46" fillId="47" borderId="21" xfId="115" applyNumberFormat="1" applyFont="1" applyFill="1" applyBorder="1" applyAlignment="1">
      <alignment/>
      <protection/>
    </xf>
    <xf numFmtId="5" fontId="46" fillId="47" borderId="49" xfId="115" applyNumberFormat="1" applyFont="1" applyFill="1" applyBorder="1" applyAlignment="1">
      <alignment/>
      <protection/>
    </xf>
    <xf numFmtId="0" fontId="74" fillId="48" borderId="52" xfId="115" applyFill="1" applyBorder="1" applyAlignment="1">
      <alignment horizontal="center"/>
      <protection/>
    </xf>
    <xf numFmtId="0" fontId="74" fillId="48" borderId="67" xfId="115" applyFill="1" applyBorder="1" applyAlignment="1">
      <alignment horizontal="center"/>
      <protection/>
    </xf>
    <xf numFmtId="169" fontId="1" fillId="0" borderId="52" xfId="83" applyNumberFormat="1" applyFont="1" applyBorder="1" applyAlignment="1">
      <alignment horizontal="center"/>
    </xf>
    <xf numFmtId="169" fontId="1" fillId="0" borderId="67" xfId="83" applyNumberFormat="1" applyFont="1" applyBorder="1" applyAlignment="1">
      <alignment horizontal="center"/>
    </xf>
    <xf numFmtId="5" fontId="46" fillId="0" borderId="52" xfId="83" applyNumberFormat="1" applyFont="1" applyFill="1" applyBorder="1" applyAlignment="1">
      <alignment horizontal="center"/>
    </xf>
    <xf numFmtId="5" fontId="46" fillId="0" borderId="67" xfId="83" applyNumberFormat="1" applyFont="1" applyFill="1" applyBorder="1" applyAlignment="1">
      <alignment horizontal="center"/>
    </xf>
    <xf numFmtId="0" fontId="74" fillId="48" borderId="21" xfId="115" applyFill="1" applyBorder="1" applyAlignment="1">
      <alignment horizontal="center"/>
      <protection/>
    </xf>
    <xf numFmtId="0" fontId="74" fillId="48" borderId="144" xfId="115" applyFill="1" applyBorder="1" applyAlignment="1">
      <alignment horizontal="center"/>
      <protection/>
    </xf>
    <xf numFmtId="0" fontId="74" fillId="48" borderId="143" xfId="115" applyFill="1" applyBorder="1" applyAlignment="1">
      <alignment horizontal="center"/>
      <protection/>
    </xf>
    <xf numFmtId="0" fontId="45" fillId="0" borderId="43" xfId="115" applyFont="1" applyBorder="1" applyAlignment="1">
      <alignment horizontal="center"/>
      <protection/>
    </xf>
    <xf numFmtId="0" fontId="45" fillId="0" borderId="38" xfId="115" applyFont="1" applyBorder="1" applyAlignment="1">
      <alignment horizontal="center"/>
      <protection/>
    </xf>
    <xf numFmtId="170" fontId="45" fillId="0" borderId="43" xfId="135" applyNumberFormat="1" applyFont="1" applyBorder="1" applyAlignment="1">
      <alignment/>
    </xf>
    <xf numFmtId="170" fontId="45" fillId="0" borderId="38" xfId="135" applyNumberFormat="1" applyFont="1" applyBorder="1" applyAlignment="1">
      <alignment/>
    </xf>
    <xf numFmtId="170" fontId="45" fillId="0" borderId="39" xfId="135" applyNumberFormat="1" applyFont="1" applyBorder="1" applyAlignment="1">
      <alignment/>
    </xf>
    <xf numFmtId="170" fontId="45" fillId="0" borderId="43" xfId="135" applyNumberFormat="1" applyFont="1" applyFill="1" applyBorder="1" applyAlignment="1">
      <alignment/>
    </xf>
    <xf numFmtId="170" fontId="45" fillId="0" borderId="38" xfId="135" applyNumberFormat="1" applyFont="1" applyFill="1" applyBorder="1" applyAlignment="1">
      <alignment/>
    </xf>
    <xf numFmtId="170" fontId="45" fillId="0" borderId="39" xfId="135" applyNumberFormat="1" applyFont="1" applyFill="1" applyBorder="1" applyAlignment="1">
      <alignment/>
    </xf>
    <xf numFmtId="0" fontId="28" fillId="0" borderId="19" xfId="0" applyFont="1" applyBorder="1" applyAlignment="1">
      <alignment horizontal="center"/>
    </xf>
    <xf numFmtId="170" fontId="28" fillId="0" borderId="19" xfId="0" applyNumberFormat="1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37" fillId="0" borderId="19" xfId="0" applyFont="1" applyFill="1" applyBorder="1" applyAlignment="1">
      <alignment horizontal="center" wrapText="1"/>
    </xf>
    <xf numFmtId="0" fontId="28" fillId="0" borderId="20" xfId="0" applyFont="1" applyBorder="1" applyAlignment="1">
      <alignment horizontal="center" vertical="center"/>
    </xf>
    <xf numFmtId="0" fontId="50" fillId="47" borderId="104" xfId="119" applyFont="1" applyFill="1" applyBorder="1" applyAlignment="1">
      <alignment horizontal="left" vertical="center"/>
      <protection/>
    </xf>
    <xf numFmtId="0" fontId="50" fillId="47" borderId="106" xfId="119" applyFont="1" applyFill="1" applyBorder="1" applyAlignment="1">
      <alignment horizontal="left" vertical="center" wrapText="1"/>
      <protection/>
    </xf>
    <xf numFmtId="0" fontId="25" fillId="47" borderId="19" xfId="127" applyFont="1" applyFill="1" applyBorder="1" applyAlignment="1">
      <alignment horizontal="center" vertical="center"/>
      <protection/>
    </xf>
    <xf numFmtId="0" fontId="50" fillId="47" borderId="21" xfId="119" applyFont="1" applyFill="1" applyBorder="1" applyAlignment="1">
      <alignment horizontal="left"/>
      <protection/>
    </xf>
    <xf numFmtId="0" fontId="50" fillId="47" borderId="49" xfId="119" applyFont="1" applyFill="1" applyBorder="1" applyAlignment="1">
      <alignment horizontal="left"/>
      <protection/>
    </xf>
    <xf numFmtId="0" fontId="50" fillId="47" borderId="25" xfId="119" applyFont="1" applyFill="1" applyBorder="1" applyAlignment="1">
      <alignment horizontal="left"/>
      <protection/>
    </xf>
    <xf numFmtId="0" fontId="50" fillId="47" borderId="26" xfId="119" applyFont="1" applyFill="1" applyBorder="1" applyAlignment="1">
      <alignment horizontal="left"/>
      <protection/>
    </xf>
    <xf numFmtId="0" fontId="51" fillId="47" borderId="43" xfId="119" applyFont="1" applyFill="1" applyBorder="1" applyAlignment="1">
      <alignment horizontal="center"/>
      <protection/>
    </xf>
    <xf numFmtId="0" fontId="51" fillId="47" borderId="38" xfId="119" applyFont="1" applyFill="1" applyBorder="1" applyAlignment="1">
      <alignment horizontal="center"/>
      <protection/>
    </xf>
    <xf numFmtId="0" fontId="51" fillId="47" borderId="39" xfId="119" applyFont="1" applyFill="1" applyBorder="1" applyAlignment="1">
      <alignment horizontal="center"/>
      <protection/>
    </xf>
    <xf numFmtId="0" fontId="51" fillId="47" borderId="0" xfId="119" applyFont="1" applyFill="1" applyBorder="1" applyAlignment="1">
      <alignment horizontal="left"/>
      <protection/>
    </xf>
    <xf numFmtId="0" fontId="50" fillId="47" borderId="152" xfId="119" applyFont="1" applyFill="1" applyBorder="1" applyAlignment="1">
      <alignment horizontal="center" vertical="center"/>
      <protection/>
    </xf>
    <xf numFmtId="0" fontId="50" fillId="47" borderId="123" xfId="119" applyFont="1" applyFill="1" applyBorder="1" applyAlignment="1">
      <alignment horizontal="center" vertical="center"/>
      <protection/>
    </xf>
    <xf numFmtId="0" fontId="50" fillId="47" borderId="19" xfId="119" applyFont="1" applyFill="1" applyBorder="1" applyAlignment="1">
      <alignment horizontal="center" vertical="center"/>
      <protection/>
    </xf>
    <xf numFmtId="0" fontId="50" fillId="47" borderId="19" xfId="119" applyFont="1" applyFill="1" applyBorder="1" applyAlignment="1">
      <alignment horizontal="center"/>
      <protection/>
    </xf>
    <xf numFmtId="0" fontId="50" fillId="47" borderId="30" xfId="119" applyFont="1" applyFill="1" applyBorder="1" applyAlignment="1">
      <alignment horizontal="left"/>
      <protection/>
    </xf>
    <xf numFmtId="0" fontId="50" fillId="47" borderId="35" xfId="119" applyFont="1" applyFill="1" applyBorder="1" applyAlignment="1">
      <alignment horizontal="left"/>
      <protection/>
    </xf>
    <xf numFmtId="0" fontId="25" fillId="47" borderId="0" xfId="0" applyFont="1" applyFill="1" applyAlignment="1">
      <alignment horizontal="center" wrapText="1"/>
    </xf>
    <xf numFmtId="0" fontId="50" fillId="47" borderId="153" xfId="119" applyFont="1" applyFill="1" applyBorder="1" applyAlignment="1">
      <alignment horizontal="left"/>
      <protection/>
    </xf>
    <xf numFmtId="0" fontId="50" fillId="47" borderId="154" xfId="119" applyFont="1" applyFill="1" applyBorder="1" applyAlignment="1">
      <alignment horizontal="left"/>
      <protection/>
    </xf>
    <xf numFmtId="0" fontId="50" fillId="47" borderId="115" xfId="119" applyFont="1" applyFill="1" applyBorder="1" applyAlignment="1">
      <alignment horizontal="left"/>
      <protection/>
    </xf>
    <xf numFmtId="0" fontId="50" fillId="47" borderId="117" xfId="119" applyFont="1" applyFill="1" applyBorder="1" applyAlignment="1">
      <alignment horizontal="left"/>
      <protection/>
    </xf>
    <xf numFmtId="0" fontId="50" fillId="47" borderId="155" xfId="119" applyFont="1" applyFill="1" applyBorder="1" applyAlignment="1">
      <alignment horizontal="left"/>
      <protection/>
    </xf>
    <xf numFmtId="0" fontId="50" fillId="47" borderId="156" xfId="119" applyFont="1" applyFill="1" applyBorder="1" applyAlignment="1">
      <alignment horizontal="left"/>
      <protection/>
    </xf>
    <xf numFmtId="0" fontId="51" fillId="47" borderId="80" xfId="119" applyFont="1" applyFill="1" applyBorder="1" applyAlignment="1">
      <alignment horizontal="center"/>
      <protection/>
    </xf>
    <xf numFmtId="0" fontId="51" fillId="47" borderId="152" xfId="119" applyFont="1" applyFill="1" applyBorder="1" applyAlignment="1">
      <alignment horizontal="center"/>
      <protection/>
    </xf>
    <xf numFmtId="0" fontId="51" fillId="47" borderId="123" xfId="1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/>
    </xf>
    <xf numFmtId="0" fontId="99" fillId="47" borderId="0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2" fillId="5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9" fillId="47" borderId="20" xfId="0" applyFont="1" applyFill="1" applyBorder="1" applyAlignment="1">
      <alignment horizontal="center" vertical="center" wrapText="1"/>
    </xf>
    <xf numFmtId="164" fontId="20" fillId="47" borderId="0" xfId="122" applyNumberFormat="1" applyFont="1" applyFill="1" applyBorder="1" applyAlignment="1">
      <alignment horizontal="center" vertical="center" wrapText="1"/>
      <protection/>
    </xf>
    <xf numFmtId="0" fontId="50" fillId="47" borderId="20" xfId="122" applyFont="1" applyFill="1" applyBorder="1" applyAlignment="1">
      <alignment horizontal="left" wrapText="1"/>
      <protection/>
    </xf>
    <xf numFmtId="194" fontId="25" fillId="50" borderId="133" xfId="0" applyNumberFormat="1" applyFont="1" applyFill="1" applyBorder="1" applyAlignment="1">
      <alignment horizontal="left" vertical="center" wrapText="1" indent="2"/>
    </xf>
    <xf numFmtId="194" fontId="25" fillId="50" borderId="128" xfId="0" applyNumberFormat="1" applyFont="1" applyFill="1" applyBorder="1" applyAlignment="1">
      <alignment horizontal="left" vertical="center" wrapText="1" indent="2"/>
    </xf>
    <xf numFmtId="194" fontId="23" fillId="50" borderId="0" xfId="0" applyNumberFormat="1" applyFont="1" applyFill="1" applyAlignment="1">
      <alignment horizontal="center" vertical="center" wrapText="1"/>
    </xf>
    <xf numFmtId="194" fontId="25" fillId="50" borderId="131" xfId="0" applyNumberFormat="1" applyFont="1" applyFill="1" applyBorder="1" applyAlignment="1">
      <alignment horizontal="center" vertical="center" wrapText="1"/>
    </xf>
    <xf numFmtId="194" fontId="25" fillId="50" borderId="126" xfId="0" applyNumberFormat="1" applyFont="1" applyFill="1" applyBorder="1" applyAlignment="1">
      <alignment horizontal="center" vertical="center" wrapText="1"/>
    </xf>
    <xf numFmtId="194" fontId="25" fillId="50" borderId="130" xfId="0" applyNumberFormat="1" applyFont="1" applyFill="1" applyBorder="1" applyAlignment="1">
      <alignment horizontal="center" vertical="center"/>
    </xf>
    <xf numFmtId="194" fontId="25" fillId="50" borderId="19" xfId="0" applyNumberFormat="1" applyFont="1" applyFill="1" applyBorder="1" applyAlignment="1">
      <alignment horizontal="center" vertical="center"/>
    </xf>
    <xf numFmtId="194" fontId="25" fillId="50" borderId="130" xfId="0" applyNumberFormat="1" applyFont="1" applyFill="1" applyBorder="1" applyAlignment="1">
      <alignment horizontal="center" vertical="center" wrapText="1"/>
    </xf>
    <xf numFmtId="194" fontId="25" fillId="50" borderId="19" xfId="0" applyNumberFormat="1" applyFont="1" applyFill="1" applyBorder="1" applyAlignment="1">
      <alignment horizontal="center" vertical="center" wrapText="1"/>
    </xf>
    <xf numFmtId="194" fontId="25" fillId="50" borderId="132" xfId="0" applyNumberFormat="1" applyFont="1" applyFill="1" applyBorder="1" applyAlignment="1">
      <alignment horizontal="center" vertical="center"/>
    </xf>
    <xf numFmtId="194" fontId="25" fillId="50" borderId="127" xfId="0" applyNumberFormat="1" applyFont="1" applyFill="1" applyBorder="1" applyAlignment="1">
      <alignment horizontal="center" vertical="center"/>
    </xf>
    <xf numFmtId="0" fontId="64" fillId="0" borderId="0" xfId="116" applyFont="1" applyFill="1" applyBorder="1" applyAlignment="1">
      <alignment horizontal="left" wrapText="1"/>
      <protection/>
    </xf>
    <xf numFmtId="0" fontId="57" fillId="0" borderId="0" xfId="116" applyFont="1" applyFill="1" applyBorder="1" applyAlignment="1">
      <alignment horizontal="center" wrapText="1"/>
      <protection/>
    </xf>
    <xf numFmtId="0" fontId="57" fillId="0" borderId="0" xfId="116" applyFont="1" applyFill="1" applyBorder="1" applyAlignment="1">
      <alignment horizontal="center"/>
      <protection/>
    </xf>
    <xf numFmtId="3" fontId="58" fillId="0" borderId="19" xfId="116" applyNumberFormat="1" applyFont="1" applyFill="1" applyBorder="1" applyAlignment="1">
      <alignment horizontal="center" vertical="center"/>
      <protection/>
    </xf>
    <xf numFmtId="3" fontId="38" fillId="0" borderId="19" xfId="116" applyNumberFormat="1" applyFont="1" applyFill="1" applyBorder="1" applyAlignment="1">
      <alignment horizontal="center" vertical="center"/>
      <protection/>
    </xf>
    <xf numFmtId="3" fontId="59" fillId="0" borderId="19" xfId="116" applyNumberFormat="1" applyFont="1" applyFill="1" applyBorder="1" applyAlignment="1">
      <alignment horizontal="center" vertical="center" wrapText="1"/>
      <protection/>
    </xf>
    <xf numFmtId="3" fontId="59" fillId="0" borderId="101" xfId="116" applyNumberFormat="1" applyFont="1" applyFill="1" applyBorder="1" applyAlignment="1">
      <alignment horizontal="center" vertical="center"/>
      <protection/>
    </xf>
    <xf numFmtId="3" fontId="59" fillId="0" borderId="107" xfId="116" applyNumberFormat="1" applyFont="1" applyFill="1" applyBorder="1" applyAlignment="1">
      <alignment horizontal="center" vertical="center"/>
      <protection/>
    </xf>
    <xf numFmtId="3" fontId="59" fillId="0" borderId="102" xfId="116" applyNumberFormat="1" applyFont="1" applyFill="1" applyBorder="1" applyAlignment="1">
      <alignment horizontal="center" vertical="center"/>
      <protection/>
    </xf>
    <xf numFmtId="0" fontId="37" fillId="0" borderId="20" xfId="120" applyFont="1" applyBorder="1" applyAlignment="1">
      <alignment horizontal="center" vertical="center" wrapText="1"/>
      <protection/>
    </xf>
    <xf numFmtId="0" fontId="36" fillId="0" borderId="74" xfId="120" applyFont="1" applyBorder="1" applyAlignment="1">
      <alignment horizontal="center" vertical="center" wrapText="1"/>
      <protection/>
    </xf>
    <xf numFmtId="0" fontId="36" fillId="0" borderId="41" xfId="120" applyFont="1" applyBorder="1" applyAlignment="1">
      <alignment horizontal="center" vertical="center" wrapText="1"/>
      <protection/>
    </xf>
    <xf numFmtId="164" fontId="21" fillId="47" borderId="0" xfId="122" applyNumberFormat="1" applyFont="1" applyFill="1" applyBorder="1" applyAlignment="1">
      <alignment horizontal="center" vertical="center" wrapText="1"/>
      <protection/>
    </xf>
    <xf numFmtId="0" fontId="25" fillId="0" borderId="19" xfId="122" applyFont="1" applyBorder="1" applyAlignment="1">
      <alignment horizontal="center" vertical="center" wrapText="1"/>
      <protection/>
    </xf>
    <xf numFmtId="0" fontId="37" fillId="0" borderId="19" xfId="120" applyFont="1" applyBorder="1" applyAlignment="1">
      <alignment horizontal="center" vertical="center" wrapText="1"/>
      <protection/>
    </xf>
    <xf numFmtId="164" fontId="51" fillId="47" borderId="157" xfId="122" applyNumberFormat="1" applyFont="1" applyFill="1" applyBorder="1" applyAlignment="1">
      <alignment vertical="center" wrapText="1"/>
      <protection/>
    </xf>
    <xf numFmtId="0" fontId="37" fillId="0" borderId="158" xfId="120" applyFont="1" applyBorder="1" applyAlignment="1">
      <alignment vertical="center" wrapText="1"/>
      <protection/>
    </xf>
    <xf numFmtId="0" fontId="37" fillId="0" borderId="159" xfId="120" applyFont="1" applyBorder="1" applyAlignment="1">
      <alignment vertical="center" wrapText="1"/>
      <protection/>
    </xf>
    <xf numFmtId="0" fontId="37" fillId="0" borderId="160" xfId="120" applyFont="1" applyBorder="1" applyAlignment="1">
      <alignment vertical="center" wrapText="1"/>
      <protection/>
    </xf>
    <xf numFmtId="0" fontId="37" fillId="0" borderId="161" xfId="120" applyFont="1" applyBorder="1" applyAlignment="1">
      <alignment vertical="center" wrapText="1"/>
      <protection/>
    </xf>
    <xf numFmtId="0" fontId="37" fillId="0" borderId="162" xfId="120" applyFont="1" applyBorder="1" applyAlignment="1">
      <alignment vertical="center" wrapText="1"/>
      <protection/>
    </xf>
    <xf numFmtId="0" fontId="66" fillId="47" borderId="74" xfId="122" applyFont="1" applyFill="1" applyBorder="1" applyAlignment="1">
      <alignment horizontal="center" vertical="center" wrapText="1"/>
      <protection/>
    </xf>
    <xf numFmtId="0" fontId="66" fillId="47" borderId="41" xfId="122" applyFont="1" applyFill="1" applyBorder="1" applyAlignment="1">
      <alignment horizontal="center" vertical="center" wrapText="1"/>
      <protection/>
    </xf>
    <xf numFmtId="0" fontId="66" fillId="47" borderId="50" xfId="122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23" fillId="50" borderId="0" xfId="126" applyFont="1" applyFill="1" applyAlignment="1" applyProtection="1">
      <alignment horizontal="left" wrapText="1"/>
      <protection locked="0"/>
    </xf>
    <xf numFmtId="0" fontId="52" fillId="50" borderId="0" xfId="126" applyFont="1" applyFill="1" applyAlignment="1">
      <alignment horizontal="right"/>
      <protection/>
    </xf>
    <xf numFmtId="0" fontId="23" fillId="0" borderId="0" xfId="0" applyFont="1" applyAlignment="1">
      <alignment horizontal="center"/>
    </xf>
    <xf numFmtId="0" fontId="23" fillId="0" borderId="163" xfId="0" applyFont="1" applyBorder="1" applyAlignment="1">
      <alignment horizontal="center" vertical="center" wrapText="1"/>
    </xf>
    <xf numFmtId="0" fontId="23" fillId="0" borderId="146" xfId="0" applyFont="1" applyBorder="1" applyAlignment="1">
      <alignment horizontal="center" vertical="center" wrapText="1"/>
    </xf>
  </cellXfs>
  <cellStyles count="13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% - 1. jelölőszín" xfId="33"/>
    <cellStyle name="40% - 2. jelölőszín" xfId="34"/>
    <cellStyle name="40% - 3. jelölőszín" xfId="35"/>
    <cellStyle name="40% - 4. jelölőszín" xfId="36"/>
    <cellStyle name="40% - 5. jelölőszín" xfId="37"/>
    <cellStyle name="40% - 6. jelölőszín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4" xfId="85"/>
    <cellStyle name="Ezres 5" xfId="86"/>
    <cellStyle name="Ezres 5 2" xfId="87"/>
    <cellStyle name="Ezres 6" xfId="88"/>
    <cellStyle name="Ezres 7" xfId="89"/>
    <cellStyle name="Ezres 7 2" xfId="90"/>
    <cellStyle name="Ezres 7 3" xfId="91"/>
    <cellStyle name="Ezres 8" xfId="92"/>
    <cellStyle name="Figyelmeztetés" xfId="93"/>
    <cellStyle name="Good" xfId="94"/>
    <cellStyle name="Heading 1" xfId="95"/>
    <cellStyle name="Heading 2" xfId="96"/>
    <cellStyle name="Heading 3" xfId="97"/>
    <cellStyle name="Heading 4" xfId="98"/>
    <cellStyle name="Hivatkozott cella" xfId="99"/>
    <cellStyle name="Input" xfId="100"/>
    <cellStyle name="Jegyzet" xfId="101"/>
    <cellStyle name="Jelölőszín 1" xfId="102"/>
    <cellStyle name="Jelölőszín 2" xfId="103"/>
    <cellStyle name="Jelölőszín 3" xfId="104"/>
    <cellStyle name="Jelölőszín 4" xfId="105"/>
    <cellStyle name="Jelölőszín 5" xfId="106"/>
    <cellStyle name="Jelölőszín 6" xfId="107"/>
    <cellStyle name="Jó" xfId="108"/>
    <cellStyle name="Kimenet" xfId="109"/>
    <cellStyle name="Linked Cell" xfId="110"/>
    <cellStyle name="Magyarázó szöveg" xfId="111"/>
    <cellStyle name="Neutral" xfId="112"/>
    <cellStyle name="Normál 2" xfId="113"/>
    <cellStyle name="Normál 2 2" xfId="114"/>
    <cellStyle name="Normál 2 3" xfId="115"/>
    <cellStyle name="Normál 2 4" xfId="116"/>
    <cellStyle name="Normál 2_4.4.5 utca Könyvvizsgálói tábla" xfId="117"/>
    <cellStyle name="Normál 3" xfId="118"/>
    <cellStyle name="Normál 4" xfId="119"/>
    <cellStyle name="Normál 5" xfId="120"/>
    <cellStyle name="Normál 5 2" xfId="121"/>
    <cellStyle name="Normál 6" xfId="122"/>
    <cellStyle name="Normál 7" xfId="123"/>
    <cellStyle name="Normál 7 2" xfId="124"/>
    <cellStyle name="Normál 7 2 2" xfId="125"/>
    <cellStyle name="Normál 8" xfId="126"/>
    <cellStyle name="Normál_2005.2.a-2.etábl. terv" xfId="127"/>
    <cellStyle name="Note" xfId="128"/>
    <cellStyle name="Note 2" xfId="129"/>
    <cellStyle name="Output" xfId="130"/>
    <cellStyle name="Összesen" xfId="131"/>
    <cellStyle name="Currency" xfId="132"/>
    <cellStyle name="Currency [0]" xfId="133"/>
    <cellStyle name="Pénznem 2" xfId="134"/>
    <cellStyle name="Pénznem 2 2" xfId="135"/>
    <cellStyle name="Pénznem 3" xfId="136"/>
    <cellStyle name="Pénznem 3 2" xfId="137"/>
    <cellStyle name="Rossz" xfId="138"/>
    <cellStyle name="Semleges" xfId="139"/>
    <cellStyle name="Számítás" xfId="140"/>
    <cellStyle name="Percent" xfId="141"/>
    <cellStyle name="Százalék 2" xfId="142"/>
    <cellStyle name="Százalék 3" xfId="143"/>
    <cellStyle name="Százalék 3 2" xfId="144"/>
    <cellStyle name="Title" xfId="145"/>
    <cellStyle name="Total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ivatal\Company%20Shared%20Folders\K&#246;z&#246;s\K&#201;PVISEL&#336;-TEST&#220;LET%20IRATAI\EL&#336;TERJESZT&#201;SEK\2015\2015.%2002.%2023\2.%20napirendi%20pont%202.%20mell&#233;kletem&#243;d&#225;llamivalv&#233;glegeseim&#243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.%20&#233;vi%20k&#246;lts&#233;gvet&#233;shez%20maradv&#225;ny\&#246;sszehasonl&#237;t&#243;%2001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ivatal\Users\Erika\Desktop\Munka\2017.%20&#233;vi%20m&#243;dos&#237;t&#225;si%20t&#225;bl&#225;k\Ei%20m&#243;d%20%2005.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ivatal\2017.%20k&#246;lts&#233;gvet&#233;s\3.%20napirendi%20pont%201.%20mell&#233;klete%20m&#243;dos&#237;tot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rstenbreinerika\Desktop\2019.%20&#201;VI%20K&#214;LTS&#201;GVET&#201;S\HAZAFEL&#201;p&#243;t1\2018.%2002.%2026\El&#337;sz&#246;r%20bevitt%202017%20&#233;s%202018.%20k&#246;lts&#233;gvet&#233;si%20rendelet\1.%20napirendi%20pont%20mell&#233;klete201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sz.mell. Beruházások"/>
      <sheetName val="31.sz.mell. Felh.átadott pe"/>
      <sheetName val="32.sz.mell. Műk. tám I."/>
      <sheetName val="33.sz.mell. Műk. tám II."/>
      <sheetName val="34.sz.mell. Tartalékok"/>
      <sheetName val="35.sz.mell. Szociális"/>
      <sheetName val="36.sz.mell. Intézm.fin."/>
      <sheetName val="37.sz.mell.Felújítások"/>
      <sheetName val="1.sz.függelék Normatíva"/>
      <sheetName val="2.sz.függelék.Mérlegszerű"/>
      <sheetName val="3.sz.függelék.Ütemterv"/>
      <sheetName val="4.sz.függelék többéves "/>
      <sheetName val="5.sz.függelék.Hitelképesség"/>
      <sheetName val="6.szfüggelékEU-Szivárvány Óvoda"/>
      <sheetName val="7.sz.függ.Önkormány bev-kiad"/>
      <sheetName val="8.sz.függ.PMH bev-kiad"/>
      <sheetName val="9.sz.függ.Ter.Gond. "/>
      <sheetName val="10.sz.függ.Könyvtár "/>
      <sheetName val="11.sz.függ.Hétszínvirág Ó. (2)"/>
      <sheetName val="12.sz.függ.Mese Ó.  "/>
      <sheetName val="13.sz.függ.Bölcsőde"/>
      <sheetName val="14.sz.függ.Gyermekjóléti  "/>
      <sheetName val="15.sz.függ.Mindösszesen"/>
      <sheetName val="16.sz.függ.Közhat.bev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ézmények"/>
      <sheetName val="maradvánnyal"/>
      <sheetName val="Munka1"/>
    </sheetNames>
    <sheetDataSet>
      <sheetData sheetId="2">
        <row r="94">
          <cell r="D94">
            <v>2351625349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sz. Önkormányzat 2017. "/>
      <sheetName val="1.sz.Önkormányzat 2017.B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Normatíva"/>
      <sheetName val="12.sz.mell. Létszámtábla"/>
      <sheetName val="1.sz.tájék.tábla Közvetett tám"/>
      <sheetName val="2.sz.tájék.tábla Mérlegszerű"/>
      <sheetName val="3.sz.tájék.tábla Gördülő"/>
      <sheetName val="4.sz.tájék.tábla Többéves"/>
      <sheetName val="5.sz.tájék.táb Adósságszolgálat"/>
      <sheetName val="6.sz.tájék.tábla Hitelképesség"/>
      <sheetName val="7.sz.tájék.táb.Likviditási terv"/>
      <sheetName val="8.sz.tájék.tábla Ütemterv"/>
      <sheetName val="1.sz.függ.Önkormány bev-kiad"/>
      <sheetName val="2.sz.függ.PMH bev-kiad"/>
      <sheetName val="3.sz.függ.Ter.Gond. "/>
      <sheetName val="4.sz.függ.Könyvtár "/>
      <sheetName val="5.sz.függ.Hétszínvirág Ó. "/>
      <sheetName val="6.sz.függ.Mese Ó.  "/>
      <sheetName val="7.sz.függ.Bölcsőde"/>
      <sheetName val="8.sz.függ.Gyermekjóléti  "/>
      <sheetName val="9.sz.függ.Mindösszesen"/>
      <sheetName val="Munka1"/>
    </sheetNames>
    <sheetDataSet>
      <sheetData sheetId="10">
        <row r="8">
          <cell r="J8">
            <v>1166946643</v>
          </cell>
        </row>
        <row r="9">
          <cell r="J9">
            <v>291780540</v>
          </cell>
        </row>
        <row r="10">
          <cell r="J10">
            <v>1604933989</v>
          </cell>
        </row>
        <row r="11">
          <cell r="J11">
            <v>24954500</v>
          </cell>
        </row>
        <row r="12">
          <cell r="J12">
            <v>693320744</v>
          </cell>
        </row>
        <row r="16">
          <cell r="J16">
            <v>216291470</v>
          </cell>
        </row>
        <row r="17">
          <cell r="J17">
            <v>86919478</v>
          </cell>
        </row>
        <row r="18">
          <cell r="J18">
            <v>408381180</v>
          </cell>
        </row>
        <row r="20">
          <cell r="J20">
            <v>4493528544</v>
          </cell>
        </row>
        <row r="21">
          <cell r="J21">
            <v>1935466153</v>
          </cell>
        </row>
        <row r="28">
          <cell r="J28">
            <v>6428994697</v>
          </cell>
        </row>
        <row r="29">
          <cell r="J29">
            <v>791148457</v>
          </cell>
        </row>
        <row r="30">
          <cell r="J30">
            <v>0</v>
          </cell>
        </row>
        <row r="31">
          <cell r="J31">
            <v>2983238155</v>
          </cell>
        </row>
        <row r="32">
          <cell r="J32">
            <v>394755231</v>
          </cell>
        </row>
        <row r="33">
          <cell r="J33">
            <v>181626200</v>
          </cell>
        </row>
        <row r="34">
          <cell r="J34">
            <v>45000000</v>
          </cell>
        </row>
        <row r="35">
          <cell r="J35">
            <v>3694700</v>
          </cell>
        </row>
        <row r="36">
          <cell r="J36">
            <v>4399462743</v>
          </cell>
        </row>
        <row r="37">
          <cell r="J37">
            <v>2029531954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sz.tájék.tábla Gördülő (2)"/>
      <sheetName val="1. sz. Önkormányzat 2016. 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Normatíva"/>
      <sheetName val="12.sz.mell. Létszámtábla"/>
      <sheetName val="1.sz.tájék.tábla Közvetett tám"/>
      <sheetName val="2.sz.tájék.tábla Mérlegszerű"/>
      <sheetName val="3.sz.tájék.tábla Gördülő"/>
      <sheetName val="4.sz.tájék.tábla Többéves"/>
      <sheetName val="5.sz.tájék.táb Adósságszolgálat"/>
      <sheetName val="6.sz.tájék.tábla Hitelképesség"/>
      <sheetName val="7.sz.tájék.táb.Likviditási terv"/>
      <sheetName val="8.sz.tájék.tábla Ütemterv"/>
      <sheetName val="9.sz.tájék.EUNapelemes korsz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sz. Önkormányzat 2018. "/>
      <sheetName val="2.1. sz. PMH"/>
      <sheetName val="2.2. sz. Hétszínvirág Óvoda"/>
      <sheetName val="2.3. sz. Mese Óvoda"/>
      <sheetName val="2.4. sz. Bölcsőde"/>
      <sheetName val="2.5. sz. Gyermekjóléti"/>
      <sheetName val="2.6 sz. Területi"/>
      <sheetName val="2.7. sz. Könyvtár"/>
      <sheetName val="2.8. sz. Műv.Ház"/>
      <sheetName val="2.9. sz. Szivárvány Ó."/>
      <sheetName val="2.10. sz. Intézmények összesen"/>
      <sheetName val="3. sz.Városi szintű összesen"/>
      <sheetName val="4.sz.Felhalm.c.pe.átadás"/>
      <sheetName val="5.sz.Műk.c.pe.átadás"/>
      <sheetName val="6.sz. Beruházások"/>
      <sheetName val="7. sz. Felújítások"/>
      <sheetName val="8.sz.Tartalékok"/>
      <sheetName val="9.sz. Szociális"/>
      <sheetName val="10.sz.Intézményfinanszírozás"/>
      <sheetName val="11.sz. Állami támogatás"/>
      <sheetName val="12.sz.mell. Létszámtábla"/>
      <sheetName val="1.sz.tájék.tábla Közvetett tám"/>
      <sheetName val="2.sz.tájék.tábla Mérlegszerű"/>
      <sheetName val="3.sz.tájék.tábla Gördülő"/>
      <sheetName val="4.sz.tájék.tábla Többéves"/>
      <sheetName val="5.sz.tájék.táb Adósságszolgálat"/>
      <sheetName val="6.sz.tájék.tábla Hitelképesség"/>
      <sheetName val="7.sz.tájék.táb.Likviditási terv"/>
      <sheetName val="8.sz.tájék.tábla Ütemterv"/>
      <sheetName val="Pályázatok"/>
      <sheetName val="Nem EUS"/>
      <sheetName val="Több év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61"/>
  <sheetViews>
    <sheetView view="pageBreakPreview" zoomScale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10" sqref="AD10"/>
    </sheetView>
  </sheetViews>
  <sheetFormatPr defaultColWidth="11.125" defaultRowHeight="12.75"/>
  <cols>
    <col min="1" max="1" width="7.00390625" style="516" customWidth="1"/>
    <col min="2" max="2" width="65.625" style="488" customWidth="1"/>
    <col min="3" max="3" width="7.375" style="513" customWidth="1"/>
    <col min="4" max="4" width="17.75390625" style="488" customWidth="1"/>
    <col min="5" max="5" width="16.375" style="488" customWidth="1"/>
    <col min="6" max="7" width="19.25390625" style="488" customWidth="1"/>
    <col min="8" max="8" width="18.375" style="488" customWidth="1"/>
    <col min="9" max="9" width="16.125" style="488" customWidth="1"/>
    <col min="10" max="10" width="17.25390625" style="488" customWidth="1"/>
    <col min="11" max="11" width="19.00390625" style="488" customWidth="1"/>
    <col min="12" max="12" width="18.75390625" style="488" customWidth="1"/>
    <col min="13" max="13" width="17.00390625" style="488" customWidth="1"/>
    <col min="14" max="14" width="20.625" style="488" customWidth="1"/>
    <col min="15" max="15" width="17.00390625" style="488" customWidth="1"/>
    <col min="16" max="16" width="16.375" style="488" customWidth="1"/>
    <col min="17" max="17" width="18.375" style="488" customWidth="1"/>
    <col min="18" max="18" width="18.875" style="488" customWidth="1"/>
    <col min="19" max="19" width="18.25390625" style="489" customWidth="1"/>
    <col min="20" max="20" width="19.875" style="489" customWidth="1"/>
    <col min="21" max="21" width="16.625" style="489" customWidth="1"/>
    <col min="22" max="22" width="20.625" style="489" customWidth="1"/>
    <col min="23" max="23" width="18.375" style="489" customWidth="1"/>
    <col min="24" max="25" width="18.25390625" style="488" customWidth="1"/>
    <col min="26" max="26" width="17.25390625" style="488" customWidth="1"/>
    <col min="27" max="27" width="18.875" style="488" customWidth="1"/>
    <col min="28" max="28" width="20.75390625" style="488" customWidth="1"/>
    <col min="29" max="29" width="17.875" style="488" customWidth="1"/>
    <col min="30" max="30" width="19.125" style="488" customWidth="1"/>
    <col min="31" max="31" width="25.875" style="488" customWidth="1"/>
    <col min="32" max="32" width="21.00390625" style="489" customWidth="1"/>
    <col min="33" max="33" width="18.75390625" style="489" customWidth="1"/>
    <col min="34" max="34" width="18.125" style="489" customWidth="1"/>
    <col min="35" max="35" width="19.375" style="489" customWidth="1"/>
    <col min="36" max="36" width="19.125" style="488" customWidth="1"/>
    <col min="37" max="37" width="18.25390625" style="488" customWidth="1"/>
    <col min="38" max="38" width="18.125" style="488" customWidth="1"/>
    <col min="39" max="39" width="18.00390625" style="488" customWidth="1"/>
    <col min="40" max="40" width="17.25390625" style="489" customWidth="1"/>
    <col min="41" max="41" width="17.25390625" style="488" customWidth="1"/>
    <col min="42" max="42" width="17.375" style="488" customWidth="1"/>
    <col min="43" max="44" width="18.125" style="488" customWidth="1"/>
    <col min="45" max="45" width="18.25390625" style="489" customWidth="1"/>
    <col min="46" max="46" width="18.75390625" style="488" customWidth="1"/>
    <col min="47" max="47" width="18.125" style="488" customWidth="1"/>
    <col min="48" max="49" width="17.00390625" style="488" customWidth="1"/>
    <col min="50" max="50" width="18.875" style="488" customWidth="1"/>
    <col min="51" max="51" width="17.75390625" style="488" customWidth="1"/>
    <col min="52" max="52" width="18.00390625" style="488" customWidth="1"/>
    <col min="53" max="53" width="18.75390625" style="488" customWidth="1"/>
    <col min="54" max="55" width="19.375" style="489" customWidth="1"/>
    <col min="56" max="56" width="17.625" style="488" customWidth="1"/>
    <col min="57" max="57" width="18.125" style="488" customWidth="1"/>
    <col min="58" max="58" width="18.125" style="489" customWidth="1"/>
    <col min="59" max="59" width="18.75390625" style="556" customWidth="1"/>
    <col min="60" max="60" width="17.75390625" style="488" customWidth="1"/>
    <col min="61" max="63" width="17.375" style="488" customWidth="1"/>
    <col min="64" max="64" width="19.875" style="488" customWidth="1"/>
    <col min="65" max="65" width="18.875" style="488" customWidth="1"/>
    <col min="66" max="66" width="19.25390625" style="556" customWidth="1"/>
    <col min="67" max="67" width="17.125" style="488" customWidth="1"/>
    <col min="68" max="68" width="18.125" style="488" customWidth="1"/>
    <col min="69" max="69" width="17.625" style="488" customWidth="1"/>
    <col min="70" max="70" width="18.125" style="488" customWidth="1"/>
    <col min="71" max="71" width="20.875" style="488" customWidth="1"/>
    <col min="72" max="73" width="20.625" style="488" customWidth="1"/>
    <col min="74" max="74" width="18.75390625" style="488" customWidth="1"/>
    <col min="75" max="75" width="15.875" style="488" customWidth="1"/>
    <col min="76" max="76" width="17.75390625" style="488" customWidth="1"/>
    <col min="77" max="77" width="19.625" style="488" customWidth="1"/>
    <col min="78" max="79" width="19.25390625" style="488" customWidth="1"/>
    <col min="80" max="80" width="17.75390625" style="556" customWidth="1"/>
    <col min="81" max="81" width="18.75390625" style="489" customWidth="1"/>
    <col min="82" max="82" width="20.625" style="538" customWidth="1"/>
    <col min="83" max="83" width="19.25390625" style="489" customWidth="1"/>
    <col min="84" max="84" width="19.125" style="489" customWidth="1"/>
    <col min="85" max="85" width="17.625" style="489" customWidth="1"/>
    <col min="86" max="86" width="18.75390625" style="489" customWidth="1"/>
    <col min="87" max="87" width="17.875" style="488" customWidth="1"/>
    <col min="88" max="90" width="19.375" style="489" customWidth="1"/>
    <col min="91" max="92" width="19.375" style="539" customWidth="1"/>
    <col min="93" max="93" width="19.375" style="538" customWidth="1"/>
    <col min="94" max="96" width="19.375" style="489" customWidth="1"/>
    <col min="97" max="97" width="19.375" style="561" customWidth="1"/>
    <col min="98" max="98" width="17.875" style="489" customWidth="1"/>
    <col min="99" max="99" width="16.875" style="489" customWidth="1"/>
    <col min="100" max="100" width="18.625" style="538" customWidth="1"/>
    <col min="101" max="101" width="17.25390625" style="488" customWidth="1"/>
    <col min="102" max="102" width="21.75390625" style="488" customWidth="1"/>
    <col min="103" max="103" width="17.00390625" style="488" customWidth="1"/>
    <col min="104" max="104" width="20.00390625" style="488" customWidth="1"/>
    <col min="105" max="105" width="19.125" style="488" customWidth="1"/>
    <col min="106" max="106" width="16.25390625" style="488" customWidth="1"/>
    <col min="107" max="107" width="19.375" style="489" customWidth="1"/>
    <col min="108" max="108" width="18.375" style="489" customWidth="1"/>
    <col min="109" max="109" width="19.625" style="489" customWidth="1"/>
    <col min="110" max="110" width="20.625" style="489" customWidth="1"/>
    <col min="111" max="111" width="19.25390625" style="488" customWidth="1"/>
    <col min="112" max="112" width="17.125" style="488" customWidth="1"/>
    <col min="113" max="113" width="22.00390625" style="488" customWidth="1"/>
    <col min="114" max="114" width="20.625" style="488" customWidth="1"/>
    <col min="115" max="115" width="19.00390625" style="488" customWidth="1"/>
    <col min="116" max="116" width="14.625" style="488" customWidth="1"/>
    <col min="117" max="117" width="15.75390625" style="488" customWidth="1"/>
    <col min="118" max="118" width="17.25390625" style="488" customWidth="1"/>
    <col min="119" max="119" width="15.625" style="488" customWidth="1"/>
    <col min="120" max="120" width="16.125" style="488" customWidth="1"/>
    <col min="121" max="121" width="18.875" style="488" customWidth="1"/>
    <col min="122" max="122" width="23.125" style="488" customWidth="1"/>
    <col min="123" max="123" width="18.75390625" style="488" customWidth="1"/>
    <col min="124" max="124" width="18.25390625" style="488" customWidth="1"/>
    <col min="125" max="125" width="19.25390625" style="488" customWidth="1"/>
    <col min="126" max="126" width="18.00390625" style="488" customWidth="1"/>
    <col min="127" max="127" width="20.125" style="536" customWidth="1"/>
    <col min="128" max="130" width="17.125" style="536" customWidth="1"/>
    <col min="131" max="131" width="21.625" style="489" customWidth="1"/>
    <col min="132" max="132" width="18.375" style="488" customWidth="1"/>
    <col min="133" max="133" width="17.25390625" style="488" customWidth="1"/>
    <col min="134" max="134" width="19.375" style="488" customWidth="1"/>
    <col min="135" max="135" width="18.625" style="488" customWidth="1"/>
    <col min="136" max="136" width="18.875" style="488" customWidth="1"/>
    <col min="137" max="137" width="17.625" style="488" customWidth="1"/>
    <col min="138" max="138" width="19.875" style="488" customWidth="1"/>
    <col min="139" max="139" width="18.875" style="488" customWidth="1"/>
    <col min="140" max="140" width="21.375" style="488" customWidth="1"/>
    <col min="141" max="141" width="19.75390625" style="488" customWidth="1"/>
    <col min="142" max="142" width="17.25390625" style="488" customWidth="1"/>
    <col min="143" max="143" width="18.625" style="488" bestFit="1" customWidth="1"/>
    <col min="144" max="144" width="16.625" style="488" customWidth="1"/>
    <col min="145" max="145" width="19.375" style="488" customWidth="1"/>
    <col min="146" max="146" width="20.75390625" style="488" customWidth="1"/>
    <col min="147" max="147" width="18.375" style="488" bestFit="1" customWidth="1"/>
    <col min="148" max="148" width="16.625" style="488" bestFit="1" customWidth="1"/>
    <col min="149" max="158" width="9.125" style="488" customWidth="1"/>
    <col min="159" max="159" width="7.125" style="488" customWidth="1"/>
    <col min="160" max="160" width="58.25390625" style="488" bestFit="1" customWidth="1"/>
    <col min="161" max="161" width="6.875" style="488" bestFit="1" customWidth="1"/>
    <col min="162" max="162" width="11.25390625" style="488" customWidth="1"/>
    <col min="163" max="163" width="9.375" style="488" customWidth="1"/>
    <col min="164" max="164" width="12.75390625" style="488" customWidth="1"/>
    <col min="165" max="165" width="14.75390625" style="488" customWidth="1"/>
    <col min="166" max="171" width="13.00390625" style="488" customWidth="1"/>
    <col min="172" max="172" width="6.875" style="488" customWidth="1"/>
    <col min="173" max="173" width="15.75390625" style="488" customWidth="1"/>
    <col min="174" max="175" width="11.125" style="488" bestFit="1" customWidth="1"/>
    <col min="176" max="176" width="15.375" style="488" customWidth="1"/>
    <col min="177" max="177" width="13.75390625" style="488" customWidth="1"/>
    <col min="178" max="178" width="12.875" style="488" customWidth="1"/>
    <col min="179" max="179" width="14.125" style="488" bestFit="1" customWidth="1"/>
    <col min="180" max="180" width="14.125" style="488" customWidth="1"/>
    <col min="181" max="181" width="14.125" style="488" bestFit="1" customWidth="1"/>
    <col min="182" max="182" width="12.375" style="488" customWidth="1"/>
    <col min="183" max="183" width="11.125" style="488" bestFit="1" customWidth="1"/>
    <col min="184" max="184" width="15.125" style="488" bestFit="1" customWidth="1"/>
    <col min="185" max="185" width="11.125" style="488" bestFit="1" customWidth="1"/>
    <col min="186" max="186" width="12.375" style="488" customWidth="1"/>
    <col min="187" max="187" width="12.75390625" style="488" customWidth="1"/>
    <col min="188" max="188" width="12.25390625" style="488" customWidth="1"/>
    <col min="189" max="189" width="14.25390625" style="488" customWidth="1"/>
    <col min="190" max="191" width="14.125" style="488" customWidth="1"/>
    <col min="192" max="192" width="15.125" style="488" bestFit="1" customWidth="1"/>
    <col min="193" max="193" width="12.75390625" style="488" customWidth="1"/>
    <col min="194" max="194" width="12.25390625" style="488" customWidth="1"/>
    <col min="195" max="195" width="13.25390625" style="488" customWidth="1"/>
    <col min="196" max="197" width="11.125" style="488" bestFit="1" customWidth="1"/>
    <col min="198" max="198" width="15.25390625" style="488" customWidth="1"/>
    <col min="199" max="201" width="13.75390625" style="488" customWidth="1"/>
    <col min="202" max="203" width="12.375" style="488" bestFit="1" customWidth="1"/>
    <col min="204" max="204" width="13.125" style="488" bestFit="1" customWidth="1"/>
    <col min="205" max="205" width="14.00390625" style="488" customWidth="1"/>
    <col min="206" max="206" width="15.00390625" style="488" customWidth="1"/>
    <col min="207" max="207" width="13.875" style="488" customWidth="1"/>
    <col min="208" max="208" width="14.75390625" style="488" bestFit="1" customWidth="1"/>
    <col min="209" max="210" width="11.125" style="488" bestFit="1" customWidth="1"/>
    <col min="211" max="211" width="11.125" style="488" customWidth="1"/>
    <col min="212" max="214" width="11.125" style="488" bestFit="1" customWidth="1"/>
    <col min="215" max="216" width="11.125" style="488" customWidth="1"/>
    <col min="217" max="217" width="11.125" style="488" bestFit="1" customWidth="1"/>
    <col min="218" max="220" width="11.125" style="488" customWidth="1"/>
    <col min="221" max="16384" width="11.125" style="488" customWidth="1"/>
  </cols>
  <sheetData>
    <row r="1" spans="1:144" ht="22.5" customHeight="1">
      <c r="A1" s="486"/>
      <c r="B1" s="486"/>
      <c r="C1" s="487"/>
      <c r="D1" s="565"/>
      <c r="E1" s="541"/>
      <c r="F1" s="541"/>
      <c r="G1" s="541" t="s">
        <v>541</v>
      </c>
      <c r="H1" s="541"/>
      <c r="I1" s="541"/>
      <c r="J1" s="541"/>
      <c r="K1" s="541" t="s">
        <v>541</v>
      </c>
      <c r="L1" s="541"/>
      <c r="M1" s="541"/>
      <c r="N1" s="541"/>
      <c r="O1" s="541" t="s">
        <v>541</v>
      </c>
      <c r="P1" s="541"/>
      <c r="Q1" s="541"/>
      <c r="R1" s="541"/>
      <c r="S1" s="541" t="s">
        <v>541</v>
      </c>
      <c r="T1" s="541"/>
      <c r="U1" s="541"/>
      <c r="V1" s="541"/>
      <c r="W1" s="541" t="s">
        <v>541</v>
      </c>
      <c r="X1" s="556"/>
      <c r="Y1" s="556"/>
      <c r="Z1" s="541"/>
      <c r="AA1" s="541" t="s">
        <v>541</v>
      </c>
      <c r="AB1" s="541"/>
      <c r="AC1" s="541"/>
      <c r="AD1" s="541"/>
      <c r="AE1" s="541" t="s">
        <v>541</v>
      </c>
      <c r="AF1" s="561"/>
      <c r="AG1" s="541"/>
      <c r="AH1" s="561"/>
      <c r="AI1" s="541" t="s">
        <v>541</v>
      </c>
      <c r="AJ1" s="541"/>
      <c r="AK1" s="541"/>
      <c r="AL1" s="541"/>
      <c r="AM1" s="541" t="s">
        <v>541</v>
      </c>
      <c r="AN1" s="541"/>
      <c r="AO1" s="556"/>
      <c r="AP1" s="541"/>
      <c r="AQ1" s="541" t="s">
        <v>541</v>
      </c>
      <c r="AR1" s="541"/>
      <c r="AS1" s="541"/>
      <c r="AT1" s="541"/>
      <c r="AU1" s="541" t="s">
        <v>541</v>
      </c>
      <c r="AV1" s="556"/>
      <c r="AW1" s="541"/>
      <c r="AX1" s="556"/>
      <c r="AY1" s="541" t="s">
        <v>541</v>
      </c>
      <c r="AZ1" s="541"/>
      <c r="BA1" s="541"/>
      <c r="BB1" s="541"/>
      <c r="BC1" s="541" t="s">
        <v>541</v>
      </c>
      <c r="BD1" s="541"/>
      <c r="BE1" s="556"/>
      <c r="BF1" s="541"/>
      <c r="BG1" s="541" t="s">
        <v>541</v>
      </c>
      <c r="BH1" s="556"/>
      <c r="BI1" s="541"/>
      <c r="BJ1" s="541"/>
      <c r="BK1" s="541" t="s">
        <v>541</v>
      </c>
      <c r="BL1" s="556"/>
      <c r="BM1" s="556"/>
      <c r="BN1" s="541"/>
      <c r="BO1" s="541" t="s">
        <v>541</v>
      </c>
      <c r="BP1" s="541"/>
      <c r="BQ1" s="541"/>
      <c r="BR1" s="541"/>
      <c r="BS1" s="541"/>
      <c r="BT1" s="541" t="s">
        <v>541</v>
      </c>
      <c r="BU1" s="541"/>
      <c r="BV1" s="541"/>
      <c r="BW1" s="541"/>
      <c r="BX1" s="541" t="s">
        <v>541</v>
      </c>
      <c r="BY1" s="541"/>
      <c r="BZ1" s="556"/>
      <c r="CA1" s="556"/>
      <c r="CB1" s="541" t="s">
        <v>541</v>
      </c>
      <c r="CC1" s="541"/>
      <c r="CD1" s="541"/>
      <c r="CE1" s="541"/>
      <c r="CF1" s="541" t="s">
        <v>541</v>
      </c>
      <c r="CG1" s="541"/>
      <c r="CH1" s="541"/>
      <c r="CI1" s="541"/>
      <c r="CJ1" s="541" t="s">
        <v>541</v>
      </c>
      <c r="CK1" s="541"/>
      <c r="CL1" s="541"/>
      <c r="CM1" s="541"/>
      <c r="CN1" s="541" t="s">
        <v>541</v>
      </c>
      <c r="CO1" s="541"/>
      <c r="CP1" s="541"/>
      <c r="CQ1" s="541"/>
      <c r="CR1" s="541" t="s">
        <v>541</v>
      </c>
      <c r="CS1" s="541"/>
      <c r="CT1" s="541"/>
      <c r="CU1" s="541"/>
      <c r="CV1" s="541" t="s">
        <v>541</v>
      </c>
      <c r="CW1" s="541"/>
      <c r="CX1" s="541"/>
      <c r="CY1" s="541"/>
      <c r="CZ1" s="541" t="s">
        <v>541</v>
      </c>
      <c r="DA1" s="541"/>
      <c r="DB1" s="556"/>
      <c r="DC1" s="668"/>
      <c r="DD1" s="541" t="s">
        <v>541</v>
      </c>
      <c r="DE1" s="541"/>
      <c r="DF1" s="541"/>
      <c r="DG1" s="541"/>
      <c r="DH1" s="541" t="s">
        <v>541</v>
      </c>
      <c r="DI1" s="541"/>
      <c r="DJ1" s="541"/>
      <c r="DK1" s="541" t="s">
        <v>541</v>
      </c>
      <c r="DL1" s="556"/>
      <c r="DM1" s="541"/>
      <c r="DN1" s="556"/>
      <c r="DO1" s="556"/>
      <c r="DP1" s="541" t="s">
        <v>541</v>
      </c>
      <c r="DQ1" s="556"/>
      <c r="DR1" s="556"/>
      <c r="DS1" s="541"/>
      <c r="DT1" s="541" t="s">
        <v>541</v>
      </c>
      <c r="DU1" s="541"/>
      <c r="DV1" s="556"/>
      <c r="DW1" s="556"/>
      <c r="DX1" s="488"/>
      <c r="DY1" s="541" t="s">
        <v>541</v>
      </c>
      <c r="DZ1" s="556"/>
      <c r="EA1" s="561"/>
      <c r="EB1" s="541"/>
      <c r="EC1" s="541" t="s">
        <v>541</v>
      </c>
      <c r="ED1" s="541"/>
      <c r="EE1" s="541"/>
      <c r="EF1" s="541"/>
      <c r="EG1" s="541" t="s">
        <v>541</v>
      </c>
      <c r="EH1" s="541"/>
      <c r="EI1" s="541" t="s">
        <v>541</v>
      </c>
      <c r="EJ1" s="566"/>
      <c r="EK1" s="566"/>
      <c r="EL1" s="566"/>
      <c r="EM1" s="567"/>
      <c r="EN1" s="568" t="s">
        <v>541</v>
      </c>
    </row>
    <row r="2" spans="1:146" ht="36" customHeight="1">
      <c r="A2" s="1188" t="s">
        <v>312</v>
      </c>
      <c r="B2" s="1188"/>
      <c r="C2" s="1188"/>
      <c r="D2" s="542" t="s">
        <v>336</v>
      </c>
      <c r="E2" s="542" t="s">
        <v>336</v>
      </c>
      <c r="F2" s="542" t="s">
        <v>336</v>
      </c>
      <c r="G2" s="542" t="s">
        <v>336</v>
      </c>
      <c r="H2" s="542" t="s">
        <v>336</v>
      </c>
      <c r="I2" s="542" t="s">
        <v>336</v>
      </c>
      <c r="J2" s="542" t="s">
        <v>336</v>
      </c>
      <c r="K2" s="542" t="s">
        <v>336</v>
      </c>
      <c r="L2" s="542" t="s">
        <v>336</v>
      </c>
      <c r="M2" s="562" t="s">
        <v>336</v>
      </c>
      <c r="N2" s="542" t="s">
        <v>336</v>
      </c>
      <c r="O2" s="542" t="s">
        <v>336</v>
      </c>
      <c r="P2" s="542" t="s">
        <v>336</v>
      </c>
      <c r="Q2" s="542" t="s">
        <v>336</v>
      </c>
      <c r="R2" s="542" t="s">
        <v>336</v>
      </c>
      <c r="S2" s="542" t="s">
        <v>336</v>
      </c>
      <c r="T2" s="542" t="s">
        <v>336</v>
      </c>
      <c r="U2" s="542" t="s">
        <v>336</v>
      </c>
      <c r="V2" s="542" t="s">
        <v>336</v>
      </c>
      <c r="W2" s="542" t="s">
        <v>336</v>
      </c>
      <c r="X2" s="542" t="s">
        <v>336</v>
      </c>
      <c r="Y2" s="542" t="s">
        <v>336</v>
      </c>
      <c r="Z2" s="542" t="s">
        <v>336</v>
      </c>
      <c r="AA2" s="542" t="s">
        <v>336</v>
      </c>
      <c r="AB2" s="542" t="s">
        <v>336</v>
      </c>
      <c r="AC2" s="542" t="s">
        <v>336</v>
      </c>
      <c r="AD2" s="542" t="s">
        <v>336</v>
      </c>
      <c r="AE2" s="542" t="s">
        <v>336</v>
      </c>
      <c r="AF2" s="542" t="s">
        <v>336</v>
      </c>
      <c r="AG2" s="542" t="s">
        <v>336</v>
      </c>
      <c r="AH2" s="542" t="s">
        <v>336</v>
      </c>
      <c r="AI2" s="542" t="s">
        <v>336</v>
      </c>
      <c r="AJ2" s="542" t="s">
        <v>336</v>
      </c>
      <c r="AK2" s="542" t="s">
        <v>336</v>
      </c>
      <c r="AL2" s="542" t="s">
        <v>336</v>
      </c>
      <c r="AM2" s="542" t="s">
        <v>336</v>
      </c>
      <c r="AN2" s="542" t="s">
        <v>336</v>
      </c>
      <c r="AO2" s="542" t="s">
        <v>336</v>
      </c>
      <c r="AP2" s="542" t="s">
        <v>336</v>
      </c>
      <c r="AQ2" s="542" t="s">
        <v>336</v>
      </c>
      <c r="AR2" s="542" t="s">
        <v>336</v>
      </c>
      <c r="AS2" s="542" t="s">
        <v>336</v>
      </c>
      <c r="AT2" s="542" t="s">
        <v>336</v>
      </c>
      <c r="AU2" s="542" t="s">
        <v>336</v>
      </c>
      <c r="AV2" s="542" t="s">
        <v>336</v>
      </c>
      <c r="AW2" s="542" t="s">
        <v>336</v>
      </c>
      <c r="AX2" s="542" t="s">
        <v>336</v>
      </c>
      <c r="AY2" s="542" t="s">
        <v>336</v>
      </c>
      <c r="AZ2" s="542" t="s">
        <v>336</v>
      </c>
      <c r="BA2" s="542" t="s">
        <v>336</v>
      </c>
      <c r="BB2" s="542" t="s">
        <v>336</v>
      </c>
      <c r="BC2" s="542" t="s">
        <v>336</v>
      </c>
      <c r="BD2" s="542" t="s">
        <v>336</v>
      </c>
      <c r="BE2" s="542" t="s">
        <v>336</v>
      </c>
      <c r="BF2" s="542" t="s">
        <v>336</v>
      </c>
      <c r="BG2" s="542" t="s">
        <v>336</v>
      </c>
      <c r="BH2" s="562" t="s">
        <v>336</v>
      </c>
      <c r="BI2" s="562" t="s">
        <v>336</v>
      </c>
      <c r="BJ2" s="562" t="s">
        <v>336</v>
      </c>
      <c r="BK2" s="562" t="s">
        <v>336</v>
      </c>
      <c r="BL2" s="542" t="s">
        <v>336</v>
      </c>
      <c r="BM2" s="542" t="s">
        <v>336</v>
      </c>
      <c r="BN2" s="542" t="s">
        <v>336</v>
      </c>
      <c r="BO2" s="542" t="s">
        <v>336</v>
      </c>
      <c r="BP2" s="542" t="s">
        <v>336</v>
      </c>
      <c r="BQ2" s="542" t="s">
        <v>336</v>
      </c>
      <c r="BR2" s="542" t="s">
        <v>336</v>
      </c>
      <c r="BS2" s="542" t="s">
        <v>336</v>
      </c>
      <c r="BT2" s="542" t="s">
        <v>336</v>
      </c>
      <c r="BU2" s="542" t="s">
        <v>336</v>
      </c>
      <c r="BV2" s="542" t="s">
        <v>336</v>
      </c>
      <c r="BW2" s="542" t="s">
        <v>336</v>
      </c>
      <c r="BX2" s="542" t="s">
        <v>336</v>
      </c>
      <c r="BY2" s="542" t="s">
        <v>336</v>
      </c>
      <c r="BZ2" s="542" t="s">
        <v>336</v>
      </c>
      <c r="CA2" s="542" t="s">
        <v>336</v>
      </c>
      <c r="CB2" s="542" t="s">
        <v>336</v>
      </c>
      <c r="CC2" s="542" t="s">
        <v>336</v>
      </c>
      <c r="CD2" s="542" t="s">
        <v>336</v>
      </c>
      <c r="CE2" s="542" t="s">
        <v>336</v>
      </c>
      <c r="CF2" s="542" t="s">
        <v>336</v>
      </c>
      <c r="CG2" s="542" t="s">
        <v>336</v>
      </c>
      <c r="CH2" s="542" t="s">
        <v>336</v>
      </c>
      <c r="CI2" s="542" t="s">
        <v>336</v>
      </c>
      <c r="CJ2" s="542" t="s">
        <v>336</v>
      </c>
      <c r="CK2" s="542" t="s">
        <v>336</v>
      </c>
      <c r="CL2" s="542" t="s">
        <v>336</v>
      </c>
      <c r="CM2" s="542" t="s">
        <v>336</v>
      </c>
      <c r="CN2" s="542" t="s">
        <v>336</v>
      </c>
      <c r="CO2" s="542" t="s">
        <v>336</v>
      </c>
      <c r="CP2" s="542" t="s">
        <v>336</v>
      </c>
      <c r="CQ2" s="542" t="s">
        <v>336</v>
      </c>
      <c r="CR2" s="542" t="s">
        <v>336</v>
      </c>
      <c r="CS2" s="542" t="s">
        <v>336</v>
      </c>
      <c r="CT2" s="542" t="s">
        <v>336</v>
      </c>
      <c r="CU2" s="542" t="s">
        <v>336</v>
      </c>
      <c r="CV2" s="542" t="s">
        <v>336</v>
      </c>
      <c r="CW2" s="542" t="s">
        <v>336</v>
      </c>
      <c r="CX2" s="542" t="s">
        <v>336</v>
      </c>
      <c r="CY2" s="542" t="s">
        <v>336</v>
      </c>
      <c r="CZ2" s="542" t="s">
        <v>336</v>
      </c>
      <c r="DA2" s="542" t="s">
        <v>336</v>
      </c>
      <c r="DB2" s="542" t="s">
        <v>336</v>
      </c>
      <c r="DC2" s="657" t="s">
        <v>336</v>
      </c>
      <c r="DD2" s="542" t="s">
        <v>336</v>
      </c>
      <c r="DE2" s="542" t="s">
        <v>336</v>
      </c>
      <c r="DF2" s="542" t="s">
        <v>336</v>
      </c>
      <c r="DG2" s="542" t="s">
        <v>336</v>
      </c>
      <c r="DH2" s="542" t="s">
        <v>336</v>
      </c>
      <c r="DI2" s="542" t="s">
        <v>336</v>
      </c>
      <c r="DJ2" s="542" t="s">
        <v>336</v>
      </c>
      <c r="DK2" s="542" t="s">
        <v>336</v>
      </c>
      <c r="DL2" s="542" t="s">
        <v>336</v>
      </c>
      <c r="DM2" s="542" t="s">
        <v>336</v>
      </c>
      <c r="DN2" s="542" t="s">
        <v>336</v>
      </c>
      <c r="DO2" s="542" t="s">
        <v>336</v>
      </c>
      <c r="DP2" s="542" t="s">
        <v>336</v>
      </c>
      <c r="DQ2" s="542" t="s">
        <v>336</v>
      </c>
      <c r="DR2" s="542" t="s">
        <v>336</v>
      </c>
      <c r="DS2" s="542" t="s">
        <v>336</v>
      </c>
      <c r="DT2" s="542" t="s">
        <v>336</v>
      </c>
      <c r="DU2" s="542" t="s">
        <v>336</v>
      </c>
      <c r="DV2" s="542" t="s">
        <v>336</v>
      </c>
      <c r="DW2" s="542" t="s">
        <v>336</v>
      </c>
      <c r="DX2" s="542" t="s">
        <v>336</v>
      </c>
      <c r="DY2" s="542" t="s">
        <v>336</v>
      </c>
      <c r="DZ2" s="542" t="s">
        <v>336</v>
      </c>
      <c r="EA2" s="542" t="s">
        <v>336</v>
      </c>
      <c r="EB2" s="542" t="s">
        <v>336</v>
      </c>
      <c r="EC2" s="542" t="s">
        <v>336</v>
      </c>
      <c r="ED2" s="542" t="s">
        <v>336</v>
      </c>
      <c r="EE2" s="542" t="s">
        <v>336</v>
      </c>
      <c r="EF2" s="542" t="s">
        <v>336</v>
      </c>
      <c r="EG2" s="542" t="s">
        <v>336</v>
      </c>
      <c r="EH2" s="542" t="s">
        <v>336</v>
      </c>
      <c r="EI2" s="542" t="s">
        <v>336</v>
      </c>
      <c r="EJ2" s="1197" t="s">
        <v>201</v>
      </c>
      <c r="EK2" s="1198"/>
      <c r="EL2" s="1198"/>
      <c r="EM2" s="1199"/>
      <c r="EN2" s="1180" t="s">
        <v>1457</v>
      </c>
      <c r="EO2" s="490"/>
      <c r="EP2" s="490"/>
    </row>
    <row r="3" spans="1:146" ht="168" customHeight="1">
      <c r="A3" s="1190" t="s">
        <v>244</v>
      </c>
      <c r="B3" s="1188" t="s">
        <v>302</v>
      </c>
      <c r="C3" s="1188"/>
      <c r="D3" s="116" t="s">
        <v>452</v>
      </c>
      <c r="E3" s="116" t="s">
        <v>599</v>
      </c>
      <c r="F3" s="116" t="s">
        <v>843</v>
      </c>
      <c r="G3" s="116" t="s">
        <v>843</v>
      </c>
      <c r="H3" s="116" t="s">
        <v>528</v>
      </c>
      <c r="I3" s="116" t="s">
        <v>310</v>
      </c>
      <c r="J3" s="116" t="s">
        <v>853</v>
      </c>
      <c r="K3" s="542" t="s">
        <v>455</v>
      </c>
      <c r="L3" s="542" t="s">
        <v>455</v>
      </c>
      <c r="M3" s="544" t="s">
        <v>454</v>
      </c>
      <c r="N3" s="562" t="s">
        <v>616</v>
      </c>
      <c r="O3" s="116" t="s">
        <v>338</v>
      </c>
      <c r="P3" s="542" t="s">
        <v>235</v>
      </c>
      <c r="Q3" s="540" t="s">
        <v>409</v>
      </c>
      <c r="R3" s="540" t="s">
        <v>409</v>
      </c>
      <c r="S3" s="116" t="s">
        <v>458</v>
      </c>
      <c r="T3" s="543" t="s">
        <v>457</v>
      </c>
      <c r="U3" s="116" t="s">
        <v>306</v>
      </c>
      <c r="V3" s="543" t="s">
        <v>457</v>
      </c>
      <c r="W3" s="116" t="s">
        <v>456</v>
      </c>
      <c r="X3" s="543" t="s">
        <v>306</v>
      </c>
      <c r="Y3" s="543" t="s">
        <v>305</v>
      </c>
      <c r="Z3" s="543" t="s">
        <v>306</v>
      </c>
      <c r="AA3" s="543" t="s">
        <v>472</v>
      </c>
      <c r="AB3" s="116" t="s">
        <v>313</v>
      </c>
      <c r="AC3" s="569" t="s">
        <v>470</v>
      </c>
      <c r="AD3" s="116" t="s">
        <v>518</v>
      </c>
      <c r="AE3" s="116" t="s">
        <v>654</v>
      </c>
      <c r="AF3" s="543" t="s">
        <v>469</v>
      </c>
      <c r="AG3" s="543" t="s">
        <v>469</v>
      </c>
      <c r="AH3" s="543" t="s">
        <v>601</v>
      </c>
      <c r="AI3" s="116" t="s">
        <v>532</v>
      </c>
      <c r="AJ3" s="116" t="s">
        <v>520</v>
      </c>
      <c r="AK3" s="543" t="s">
        <v>468</v>
      </c>
      <c r="AL3" s="116" t="s">
        <v>1419</v>
      </c>
      <c r="AM3" s="562" t="s">
        <v>453</v>
      </c>
      <c r="AN3" s="116" t="s">
        <v>307</v>
      </c>
      <c r="AO3" s="543" t="s">
        <v>515</v>
      </c>
      <c r="AP3" s="543" t="s">
        <v>315</v>
      </c>
      <c r="AQ3" s="116" t="s">
        <v>467</v>
      </c>
      <c r="AR3" s="543" t="s">
        <v>602</v>
      </c>
      <c r="AS3" s="116" t="s">
        <v>522</v>
      </c>
      <c r="AT3" s="116" t="s">
        <v>466</v>
      </c>
      <c r="AU3" s="116" t="s">
        <v>308</v>
      </c>
      <c r="AV3" s="543" t="s">
        <v>591</v>
      </c>
      <c r="AW3" s="543" t="s">
        <v>591</v>
      </c>
      <c r="AX3" s="116" t="s">
        <v>465</v>
      </c>
      <c r="AY3" s="543" t="s">
        <v>464</v>
      </c>
      <c r="AZ3" s="543" t="s">
        <v>463</v>
      </c>
      <c r="BA3" s="116" t="s">
        <v>337</v>
      </c>
      <c r="BB3" s="116" t="s">
        <v>825</v>
      </c>
      <c r="BC3" s="116" t="s">
        <v>826</v>
      </c>
      <c r="BD3" s="116" t="s">
        <v>1425</v>
      </c>
      <c r="BE3" s="543" t="s">
        <v>763</v>
      </c>
      <c r="BF3" s="116" t="s">
        <v>164</v>
      </c>
      <c r="BG3" s="564" t="s">
        <v>641</v>
      </c>
      <c r="BH3" s="571" t="s">
        <v>736</v>
      </c>
      <c r="BI3" s="571" t="s">
        <v>736</v>
      </c>
      <c r="BJ3" s="571" t="s">
        <v>732</v>
      </c>
      <c r="BK3" s="571" t="s">
        <v>732</v>
      </c>
      <c r="BL3" s="116" t="s">
        <v>462</v>
      </c>
      <c r="BM3" s="543" t="s">
        <v>524</v>
      </c>
      <c r="BN3" s="543" t="s">
        <v>523</v>
      </c>
      <c r="BO3" s="116" t="s">
        <v>525</v>
      </c>
      <c r="BP3" s="543" t="s">
        <v>883</v>
      </c>
      <c r="BQ3" s="570" t="s">
        <v>639</v>
      </c>
      <c r="BR3" s="543" t="s">
        <v>944</v>
      </c>
      <c r="BS3" s="543" t="s">
        <v>1427</v>
      </c>
      <c r="BT3" s="543" t="s">
        <v>1428</v>
      </c>
      <c r="BU3" s="543" t="s">
        <v>1429</v>
      </c>
      <c r="BV3" s="543" t="s">
        <v>1432</v>
      </c>
      <c r="BW3" s="543" t="s">
        <v>992</v>
      </c>
      <c r="BX3" s="543" t="s">
        <v>339</v>
      </c>
      <c r="BY3" s="116" t="s">
        <v>613</v>
      </c>
      <c r="BZ3" s="543" t="s">
        <v>757</v>
      </c>
      <c r="CA3" s="570" t="s">
        <v>643</v>
      </c>
      <c r="CB3" s="543" t="s">
        <v>339</v>
      </c>
      <c r="CC3" s="116" t="s">
        <v>459</v>
      </c>
      <c r="CD3" s="572" t="s">
        <v>900</v>
      </c>
      <c r="CE3" s="564" t="s">
        <v>758</v>
      </c>
      <c r="CF3" s="573" t="s">
        <v>774</v>
      </c>
      <c r="CG3" s="116" t="s">
        <v>430</v>
      </c>
      <c r="CH3" s="564" t="s">
        <v>759</v>
      </c>
      <c r="CI3" s="542" t="s">
        <v>730</v>
      </c>
      <c r="CJ3" s="564" t="s">
        <v>759</v>
      </c>
      <c r="CK3" s="564" t="s">
        <v>759</v>
      </c>
      <c r="CL3" s="116" t="s">
        <v>839</v>
      </c>
      <c r="CM3" s="116" t="s">
        <v>839</v>
      </c>
      <c r="CN3" s="116" t="s">
        <v>528</v>
      </c>
      <c r="CO3" s="543" t="s">
        <v>339</v>
      </c>
      <c r="CP3" s="570" t="s">
        <v>761</v>
      </c>
      <c r="CQ3" s="570" t="s">
        <v>761</v>
      </c>
      <c r="CR3" s="116" t="s">
        <v>599</v>
      </c>
      <c r="CS3" s="116" t="s">
        <v>599</v>
      </c>
      <c r="CT3" s="543" t="s">
        <v>904</v>
      </c>
      <c r="CU3" s="543" t="s">
        <v>904</v>
      </c>
      <c r="CV3" s="564" t="s">
        <v>758</v>
      </c>
      <c r="CW3" s="116" t="s">
        <v>473</v>
      </c>
      <c r="CX3" s="116" t="s">
        <v>473</v>
      </c>
      <c r="CY3" s="116" t="s">
        <v>442</v>
      </c>
      <c r="CZ3" s="116" t="s">
        <v>473</v>
      </c>
      <c r="DA3" s="543" t="s">
        <v>442</v>
      </c>
      <c r="DB3" s="543" t="s">
        <v>442</v>
      </c>
      <c r="DC3" s="543" t="s">
        <v>477</v>
      </c>
      <c r="DD3" s="116" t="s">
        <v>477</v>
      </c>
      <c r="DE3" s="543" t="s">
        <v>477</v>
      </c>
      <c r="DF3" s="543" t="s">
        <v>477</v>
      </c>
      <c r="DG3" s="116" t="s">
        <v>451</v>
      </c>
      <c r="DH3" s="116" t="s">
        <v>600</v>
      </c>
      <c r="DI3" s="116" t="s">
        <v>527</v>
      </c>
      <c r="DJ3" s="116" t="s">
        <v>309</v>
      </c>
      <c r="DK3" s="116" t="s">
        <v>311</v>
      </c>
      <c r="DL3" s="116" t="s">
        <v>475</v>
      </c>
      <c r="DM3" s="116" t="s">
        <v>340</v>
      </c>
      <c r="DN3" s="116" t="s">
        <v>598</v>
      </c>
      <c r="DO3" s="116" t="s">
        <v>534</v>
      </c>
      <c r="DP3" s="116" t="s">
        <v>450</v>
      </c>
      <c r="DQ3" s="543" t="s">
        <v>449</v>
      </c>
      <c r="DR3" s="116" t="s">
        <v>451</v>
      </c>
      <c r="DS3" s="543" t="s">
        <v>448</v>
      </c>
      <c r="DT3" s="116" t="s">
        <v>473</v>
      </c>
      <c r="DU3" s="116" t="s">
        <v>314</v>
      </c>
      <c r="DV3" s="543" t="s">
        <v>519</v>
      </c>
      <c r="DW3" s="116" t="s">
        <v>517</v>
      </c>
      <c r="DX3" s="116" t="s">
        <v>311</v>
      </c>
      <c r="DY3" s="116" t="s">
        <v>311</v>
      </c>
      <c r="DZ3" s="381" t="s">
        <v>414</v>
      </c>
      <c r="EA3" s="116" t="s">
        <v>755</v>
      </c>
      <c r="EB3" s="116" t="s">
        <v>338</v>
      </c>
      <c r="EC3" s="116" t="s">
        <v>338</v>
      </c>
      <c r="ED3" s="116" t="s">
        <v>338</v>
      </c>
      <c r="EE3" s="116" t="s">
        <v>338</v>
      </c>
      <c r="EF3" s="116" t="s">
        <v>338</v>
      </c>
      <c r="EG3" s="116" t="s">
        <v>338</v>
      </c>
      <c r="EH3" s="542" t="s">
        <v>304</v>
      </c>
      <c r="EI3" s="542" t="s">
        <v>304</v>
      </c>
      <c r="EJ3" s="1197" t="s">
        <v>202</v>
      </c>
      <c r="EK3" s="1198"/>
      <c r="EL3" s="1198"/>
      <c r="EM3" s="1199"/>
      <c r="EN3" s="1181"/>
      <c r="EO3" s="490"/>
      <c r="EP3" s="490"/>
    </row>
    <row r="4" spans="1:146" ht="28.5" customHeight="1">
      <c r="A4" s="1190"/>
      <c r="B4" s="1188" t="s">
        <v>12</v>
      </c>
      <c r="C4" s="1188"/>
      <c r="D4" s="116" t="s">
        <v>280</v>
      </c>
      <c r="E4" s="116" t="s">
        <v>280</v>
      </c>
      <c r="F4" s="116" t="s">
        <v>280</v>
      </c>
      <c r="G4" s="116" t="s">
        <v>281</v>
      </c>
      <c r="H4" s="116" t="s">
        <v>280</v>
      </c>
      <c r="I4" s="116" t="s">
        <v>280</v>
      </c>
      <c r="J4" s="116" t="s">
        <v>280</v>
      </c>
      <c r="K4" s="543" t="s">
        <v>280</v>
      </c>
      <c r="L4" s="542" t="s">
        <v>281</v>
      </c>
      <c r="M4" s="542" t="s">
        <v>281</v>
      </c>
      <c r="N4" s="542" t="s">
        <v>280</v>
      </c>
      <c r="O4" s="562" t="s">
        <v>280</v>
      </c>
      <c r="P4" s="542" t="s">
        <v>280</v>
      </c>
      <c r="Q4" s="116" t="s">
        <v>280</v>
      </c>
      <c r="R4" s="116" t="s">
        <v>280</v>
      </c>
      <c r="S4" s="543" t="s">
        <v>280</v>
      </c>
      <c r="T4" s="543" t="s">
        <v>280</v>
      </c>
      <c r="U4" s="116" t="s">
        <v>280</v>
      </c>
      <c r="V4" s="543" t="s">
        <v>281</v>
      </c>
      <c r="W4" s="116" t="s">
        <v>281</v>
      </c>
      <c r="X4" s="543" t="s">
        <v>280</v>
      </c>
      <c r="Y4" s="543" t="s">
        <v>280</v>
      </c>
      <c r="Z4" s="543" t="s">
        <v>280</v>
      </c>
      <c r="AA4" s="543" t="s">
        <v>280</v>
      </c>
      <c r="AB4" s="116" t="s">
        <v>280</v>
      </c>
      <c r="AC4" s="116" t="s">
        <v>280</v>
      </c>
      <c r="AD4" s="116" t="s">
        <v>280</v>
      </c>
      <c r="AE4" s="116" t="s">
        <v>280</v>
      </c>
      <c r="AF4" s="543" t="s">
        <v>280</v>
      </c>
      <c r="AG4" s="543" t="s">
        <v>281</v>
      </c>
      <c r="AH4" s="543" t="s">
        <v>281</v>
      </c>
      <c r="AI4" s="116" t="s">
        <v>280</v>
      </c>
      <c r="AJ4" s="116" t="s">
        <v>280</v>
      </c>
      <c r="AK4" s="543" t="s">
        <v>280</v>
      </c>
      <c r="AL4" s="116" t="s">
        <v>280</v>
      </c>
      <c r="AM4" s="562" t="s">
        <v>280</v>
      </c>
      <c r="AN4" s="116" t="s">
        <v>281</v>
      </c>
      <c r="AO4" s="543" t="s">
        <v>281</v>
      </c>
      <c r="AP4" s="543" t="s">
        <v>281</v>
      </c>
      <c r="AQ4" s="116" t="s">
        <v>280</v>
      </c>
      <c r="AR4" s="543" t="s">
        <v>280</v>
      </c>
      <c r="AS4" s="116" t="s">
        <v>280</v>
      </c>
      <c r="AT4" s="116" t="s">
        <v>280</v>
      </c>
      <c r="AU4" s="116" t="s">
        <v>280</v>
      </c>
      <c r="AV4" s="543" t="s">
        <v>280</v>
      </c>
      <c r="AW4" s="116" t="s">
        <v>281</v>
      </c>
      <c r="AX4" s="116" t="s">
        <v>280</v>
      </c>
      <c r="AY4" s="543" t="s">
        <v>281</v>
      </c>
      <c r="AZ4" s="543" t="s">
        <v>281</v>
      </c>
      <c r="BA4" s="116" t="s">
        <v>281</v>
      </c>
      <c r="BB4" s="542" t="s">
        <v>281</v>
      </c>
      <c r="BC4" s="542" t="s">
        <v>281</v>
      </c>
      <c r="BD4" s="116" t="s">
        <v>280</v>
      </c>
      <c r="BE4" s="543" t="s">
        <v>281</v>
      </c>
      <c r="BF4" s="116" t="s">
        <v>280</v>
      </c>
      <c r="BG4" s="116" t="s">
        <v>280</v>
      </c>
      <c r="BH4" s="116" t="s">
        <v>280</v>
      </c>
      <c r="BI4" s="116" t="s">
        <v>280</v>
      </c>
      <c r="BJ4" s="116" t="s">
        <v>280</v>
      </c>
      <c r="BK4" s="116" t="s">
        <v>280</v>
      </c>
      <c r="BL4" s="116" t="s">
        <v>281</v>
      </c>
      <c r="BM4" s="543" t="s">
        <v>281</v>
      </c>
      <c r="BN4" s="543" t="s">
        <v>281</v>
      </c>
      <c r="BO4" s="116" t="s">
        <v>281</v>
      </c>
      <c r="BP4" s="542" t="s">
        <v>280</v>
      </c>
      <c r="BQ4" s="116" t="s">
        <v>280</v>
      </c>
      <c r="BR4" s="542" t="s">
        <v>280</v>
      </c>
      <c r="BS4" s="542" t="s">
        <v>280</v>
      </c>
      <c r="BT4" s="542" t="s">
        <v>280</v>
      </c>
      <c r="BU4" s="542" t="s">
        <v>280</v>
      </c>
      <c r="BV4" s="562" t="s">
        <v>280</v>
      </c>
      <c r="BW4" s="562" t="s">
        <v>280</v>
      </c>
      <c r="BX4" s="543" t="s">
        <v>280</v>
      </c>
      <c r="BY4" s="116" t="s">
        <v>280</v>
      </c>
      <c r="BZ4" s="543" t="s">
        <v>281</v>
      </c>
      <c r="CA4" s="543" t="s">
        <v>281</v>
      </c>
      <c r="CB4" s="543" t="s">
        <v>280</v>
      </c>
      <c r="CC4" s="116" t="s">
        <v>280</v>
      </c>
      <c r="CD4" s="116" t="s">
        <v>280</v>
      </c>
      <c r="CE4" s="116" t="s">
        <v>280</v>
      </c>
      <c r="CF4" s="116" t="s">
        <v>280</v>
      </c>
      <c r="CG4" s="116" t="s">
        <v>280</v>
      </c>
      <c r="CH4" s="116" t="s">
        <v>280</v>
      </c>
      <c r="CI4" s="542" t="s">
        <v>280</v>
      </c>
      <c r="CJ4" s="543" t="s">
        <v>280</v>
      </c>
      <c r="CK4" s="543" t="s">
        <v>280</v>
      </c>
      <c r="CL4" s="116" t="s">
        <v>280</v>
      </c>
      <c r="CM4" s="116" t="s">
        <v>280</v>
      </c>
      <c r="CN4" s="543" t="s">
        <v>281</v>
      </c>
      <c r="CO4" s="116" t="s">
        <v>280</v>
      </c>
      <c r="CP4" s="116" t="s">
        <v>280</v>
      </c>
      <c r="CQ4" s="116" t="s">
        <v>280</v>
      </c>
      <c r="CR4" s="116" t="s">
        <v>280</v>
      </c>
      <c r="CS4" s="116" t="s">
        <v>280</v>
      </c>
      <c r="CT4" s="543" t="s">
        <v>280</v>
      </c>
      <c r="CU4" s="543" t="s">
        <v>280</v>
      </c>
      <c r="CV4" s="543" t="s">
        <v>280</v>
      </c>
      <c r="CW4" s="543" t="s">
        <v>280</v>
      </c>
      <c r="CX4" s="116" t="s">
        <v>280</v>
      </c>
      <c r="CY4" s="116" t="s">
        <v>282</v>
      </c>
      <c r="CZ4" s="116" t="s">
        <v>280</v>
      </c>
      <c r="DA4" s="543" t="s">
        <v>280</v>
      </c>
      <c r="DB4" s="543" t="s">
        <v>281</v>
      </c>
      <c r="DC4" s="669" t="s">
        <v>280</v>
      </c>
      <c r="DD4" s="116" t="s">
        <v>280</v>
      </c>
      <c r="DE4" s="543" t="s">
        <v>280</v>
      </c>
      <c r="DF4" s="543" t="s">
        <v>280</v>
      </c>
      <c r="DG4" s="116" t="s">
        <v>281</v>
      </c>
      <c r="DH4" s="116" t="s">
        <v>281</v>
      </c>
      <c r="DI4" s="116" t="s">
        <v>281</v>
      </c>
      <c r="DJ4" s="116" t="s">
        <v>281</v>
      </c>
      <c r="DK4" s="116" t="s">
        <v>281</v>
      </c>
      <c r="DL4" s="116" t="s">
        <v>281</v>
      </c>
      <c r="DM4" s="116" t="s">
        <v>281</v>
      </c>
      <c r="DN4" s="116" t="s">
        <v>281</v>
      </c>
      <c r="DO4" s="116" t="s">
        <v>281</v>
      </c>
      <c r="DP4" s="116" t="s">
        <v>281</v>
      </c>
      <c r="DQ4" s="543" t="s">
        <v>281</v>
      </c>
      <c r="DR4" s="543" t="s">
        <v>281</v>
      </c>
      <c r="DS4" s="543" t="s">
        <v>280</v>
      </c>
      <c r="DT4" s="116" t="s">
        <v>281</v>
      </c>
      <c r="DU4" s="574" t="s">
        <v>281</v>
      </c>
      <c r="DV4" s="543" t="s">
        <v>281</v>
      </c>
      <c r="DW4" s="116" t="s">
        <v>280</v>
      </c>
      <c r="DX4" s="116" t="s">
        <v>281</v>
      </c>
      <c r="DY4" s="116" t="s">
        <v>281</v>
      </c>
      <c r="DZ4" s="116" t="s">
        <v>281</v>
      </c>
      <c r="EA4" s="116" t="s">
        <v>281</v>
      </c>
      <c r="EB4" s="562" t="s">
        <v>280</v>
      </c>
      <c r="EC4" s="562" t="s">
        <v>280</v>
      </c>
      <c r="ED4" s="542" t="s">
        <v>280</v>
      </c>
      <c r="EE4" s="542" t="s">
        <v>280</v>
      </c>
      <c r="EF4" s="562" t="s">
        <v>280</v>
      </c>
      <c r="EG4" s="542" t="s">
        <v>280</v>
      </c>
      <c r="EH4" s="542" t="s">
        <v>280</v>
      </c>
      <c r="EI4" s="542" t="s">
        <v>280</v>
      </c>
      <c r="EJ4" s="1189" t="s">
        <v>280</v>
      </c>
      <c r="EK4" s="1189" t="s">
        <v>397</v>
      </c>
      <c r="EL4" s="1189" t="s">
        <v>282</v>
      </c>
      <c r="EM4" s="1189" t="s">
        <v>301</v>
      </c>
      <c r="EN4" s="1181"/>
      <c r="EO4" s="490"/>
      <c r="EP4" s="490"/>
    </row>
    <row r="5" spans="1:146" ht="30" customHeight="1">
      <c r="A5" s="1190"/>
      <c r="B5" s="1188" t="s">
        <v>1308</v>
      </c>
      <c r="C5" s="1188"/>
      <c r="D5" s="1173" t="s">
        <v>897</v>
      </c>
      <c r="E5" s="1173" t="s">
        <v>898</v>
      </c>
      <c r="F5" s="1173" t="s">
        <v>901</v>
      </c>
      <c r="G5" s="1173" t="s">
        <v>842</v>
      </c>
      <c r="H5" s="1173" t="s">
        <v>709</v>
      </c>
      <c r="I5" s="1173" t="s">
        <v>335</v>
      </c>
      <c r="J5" s="1173" t="s">
        <v>972</v>
      </c>
      <c r="K5" s="1182" t="s">
        <v>973</v>
      </c>
      <c r="L5" s="1180" t="s">
        <v>1040</v>
      </c>
      <c r="M5" s="1187" t="s">
        <v>1041</v>
      </c>
      <c r="N5" s="1191" t="s">
        <v>1039</v>
      </c>
      <c r="O5" s="1182" t="s">
        <v>1038</v>
      </c>
      <c r="P5" s="1180" t="s">
        <v>1037</v>
      </c>
      <c r="Q5" s="1177" t="s">
        <v>548</v>
      </c>
      <c r="R5" s="1177" t="s">
        <v>657</v>
      </c>
      <c r="S5" s="1177" t="s">
        <v>974</v>
      </c>
      <c r="T5" s="1182" t="s">
        <v>975</v>
      </c>
      <c r="U5" s="1180" t="s">
        <v>976</v>
      </c>
      <c r="V5" s="1180" t="s">
        <v>977</v>
      </c>
      <c r="W5" s="1180" t="s">
        <v>978</v>
      </c>
      <c r="X5" s="1182" t="s">
        <v>979</v>
      </c>
      <c r="Y5" s="1182" t="s">
        <v>316</v>
      </c>
      <c r="Z5" s="1182" t="s">
        <v>514</v>
      </c>
      <c r="AA5" s="1182" t="s">
        <v>474</v>
      </c>
      <c r="AB5" s="1184" t="s">
        <v>980</v>
      </c>
      <c r="AC5" s="1187" t="s">
        <v>471</v>
      </c>
      <c r="AD5" s="1189" t="s">
        <v>895</v>
      </c>
      <c r="AE5" s="1189" t="s">
        <v>970</v>
      </c>
      <c r="AF5" s="1182" t="s">
        <v>1420</v>
      </c>
      <c r="AG5" s="1182" t="s">
        <v>936</v>
      </c>
      <c r="AH5" s="1182" t="s">
        <v>317</v>
      </c>
      <c r="AI5" s="1180" t="s">
        <v>533</v>
      </c>
      <c r="AJ5" s="1180" t="s">
        <v>943</v>
      </c>
      <c r="AK5" s="1182" t="s">
        <v>318</v>
      </c>
      <c r="AL5" s="1180" t="s">
        <v>1422</v>
      </c>
      <c r="AM5" s="1182" t="s">
        <v>1421</v>
      </c>
      <c r="AN5" s="1180" t="s">
        <v>589</v>
      </c>
      <c r="AO5" s="1182" t="s">
        <v>1423</v>
      </c>
      <c r="AP5" s="1182" t="s">
        <v>319</v>
      </c>
      <c r="AQ5" s="1180" t="s">
        <v>320</v>
      </c>
      <c r="AR5" s="1182" t="s">
        <v>971</v>
      </c>
      <c r="AS5" s="1180" t="s">
        <v>982</v>
      </c>
      <c r="AT5" s="1180" t="s">
        <v>756</v>
      </c>
      <c r="AU5" s="1180" t="s">
        <v>887</v>
      </c>
      <c r="AV5" s="1182" t="s">
        <v>321</v>
      </c>
      <c r="AW5" s="1180" t="s">
        <v>590</v>
      </c>
      <c r="AX5" s="1180" t="s">
        <v>656</v>
      </c>
      <c r="AY5" s="1182" t="s">
        <v>1424</v>
      </c>
      <c r="AZ5" s="1182" t="s">
        <v>521</v>
      </c>
      <c r="BA5" s="1180" t="s">
        <v>516</v>
      </c>
      <c r="BB5" s="1180" t="s">
        <v>981</v>
      </c>
      <c r="BC5" s="1180" t="s">
        <v>983</v>
      </c>
      <c r="BD5" s="1189" t="s">
        <v>488</v>
      </c>
      <c r="BE5" s="1182" t="s">
        <v>762</v>
      </c>
      <c r="BF5" s="1177" t="s">
        <v>984</v>
      </c>
      <c r="BG5" s="1180" t="s">
        <v>640</v>
      </c>
      <c r="BH5" s="1189" t="s">
        <v>985</v>
      </c>
      <c r="BI5" s="1189" t="s">
        <v>937</v>
      </c>
      <c r="BJ5" s="1189" t="s">
        <v>986</v>
      </c>
      <c r="BK5" s="1189" t="s">
        <v>1426</v>
      </c>
      <c r="BL5" s="1180" t="s">
        <v>461</v>
      </c>
      <c r="BM5" s="1182" t="s">
        <v>841</v>
      </c>
      <c r="BN5" s="1182" t="s">
        <v>938</v>
      </c>
      <c r="BO5" s="1180" t="s">
        <v>526</v>
      </c>
      <c r="BP5" s="1171" t="s">
        <v>987</v>
      </c>
      <c r="BQ5" s="1180" t="s">
        <v>989</v>
      </c>
      <c r="BR5" s="1171" t="s">
        <v>988</v>
      </c>
      <c r="BS5" s="1171" t="s">
        <v>990</v>
      </c>
      <c r="BT5" s="1171" t="s">
        <v>991</v>
      </c>
      <c r="BU5" s="1171" t="s">
        <v>1430</v>
      </c>
      <c r="BV5" s="1171" t="s">
        <v>1431</v>
      </c>
      <c r="BW5" s="1171" t="s">
        <v>1286</v>
      </c>
      <c r="BX5" s="1174" t="s">
        <v>540</v>
      </c>
      <c r="BY5" s="1180" t="s">
        <v>592</v>
      </c>
      <c r="BZ5" s="1180" t="s">
        <v>642</v>
      </c>
      <c r="CA5" s="1180" t="s">
        <v>993</v>
      </c>
      <c r="CB5" s="1182" t="s">
        <v>460</v>
      </c>
      <c r="CC5" s="1177" t="s">
        <v>994</v>
      </c>
      <c r="CD5" s="1202" t="s">
        <v>995</v>
      </c>
      <c r="CE5" s="1177" t="s">
        <v>996</v>
      </c>
      <c r="CF5" s="1177" t="s">
        <v>997</v>
      </c>
      <c r="CG5" s="1171" t="s">
        <v>998</v>
      </c>
      <c r="CH5" s="1171" t="s">
        <v>999</v>
      </c>
      <c r="CI5" s="1180" t="s">
        <v>1000</v>
      </c>
      <c r="CJ5" s="1177" t="s">
        <v>1001</v>
      </c>
      <c r="CK5" s="1177" t="s">
        <v>1002</v>
      </c>
      <c r="CL5" s="1177" t="s">
        <v>1003</v>
      </c>
      <c r="CM5" s="1171" t="s">
        <v>1004</v>
      </c>
      <c r="CN5" s="1177" t="s">
        <v>1005</v>
      </c>
      <c r="CO5" s="1177" t="s">
        <v>760</v>
      </c>
      <c r="CP5" s="1177" t="s">
        <v>927</v>
      </c>
      <c r="CQ5" s="1171" t="s">
        <v>1006</v>
      </c>
      <c r="CR5" s="1171" t="s">
        <v>929</v>
      </c>
      <c r="CS5" s="1171" t="s">
        <v>930</v>
      </c>
      <c r="CT5" s="1171" t="s">
        <v>906</v>
      </c>
      <c r="CU5" s="1171" t="s">
        <v>1007</v>
      </c>
      <c r="CV5" s="1200" t="s">
        <v>1415</v>
      </c>
      <c r="CW5" s="1174" t="s">
        <v>1008</v>
      </c>
      <c r="CX5" s="1177" t="s">
        <v>1009</v>
      </c>
      <c r="CY5" s="1177" t="s">
        <v>1010</v>
      </c>
      <c r="CZ5" s="1179" t="s">
        <v>1011</v>
      </c>
      <c r="DA5" s="1174" t="s">
        <v>1012</v>
      </c>
      <c r="DB5" s="1174" t="s">
        <v>1013</v>
      </c>
      <c r="DC5" s="1193" t="s">
        <v>1014</v>
      </c>
      <c r="DD5" s="1177" t="s">
        <v>479</v>
      </c>
      <c r="DE5" s="1177" t="s">
        <v>478</v>
      </c>
      <c r="DF5" s="1177" t="s">
        <v>658</v>
      </c>
      <c r="DG5" s="1173" t="s">
        <v>1015</v>
      </c>
      <c r="DH5" s="1173" t="s">
        <v>1016</v>
      </c>
      <c r="DI5" s="1173" t="s">
        <v>1017</v>
      </c>
      <c r="DJ5" s="1176" t="s">
        <v>1018</v>
      </c>
      <c r="DK5" s="1176" t="s">
        <v>1019</v>
      </c>
      <c r="DL5" s="1173" t="s">
        <v>1021</v>
      </c>
      <c r="DM5" s="1173"/>
      <c r="DN5" s="1173" t="s">
        <v>1020</v>
      </c>
      <c r="DO5" s="1173"/>
      <c r="DP5" s="1173"/>
      <c r="DQ5" s="1174" t="s">
        <v>1022</v>
      </c>
      <c r="DR5" s="1174" t="s">
        <v>1023</v>
      </c>
      <c r="DS5" s="1174" t="s">
        <v>1024</v>
      </c>
      <c r="DT5" s="1177" t="s">
        <v>1025</v>
      </c>
      <c r="DU5" s="1174" t="s">
        <v>1026</v>
      </c>
      <c r="DV5" s="1182" t="s">
        <v>1027</v>
      </c>
      <c r="DW5" s="1180" t="s">
        <v>1028</v>
      </c>
      <c r="DX5" s="1180" t="s">
        <v>1305</v>
      </c>
      <c r="DY5" s="1180" t="s">
        <v>1488</v>
      </c>
      <c r="DZ5" s="1180" t="s">
        <v>1487</v>
      </c>
      <c r="EA5" s="1180" t="s">
        <v>1029</v>
      </c>
      <c r="EB5" s="1182" t="s">
        <v>1030</v>
      </c>
      <c r="EC5" s="1182" t="s">
        <v>1031</v>
      </c>
      <c r="ED5" s="1180" t="s">
        <v>1032</v>
      </c>
      <c r="EE5" s="1195" t="s">
        <v>1033</v>
      </c>
      <c r="EF5" s="1182" t="s">
        <v>1034</v>
      </c>
      <c r="EG5" s="1180" t="s">
        <v>1035</v>
      </c>
      <c r="EH5" s="1180" t="s">
        <v>1036</v>
      </c>
      <c r="EI5" s="1180" t="s">
        <v>1306</v>
      </c>
      <c r="EJ5" s="1189"/>
      <c r="EK5" s="1189"/>
      <c r="EL5" s="1189"/>
      <c r="EM5" s="1189"/>
      <c r="EN5" s="1181"/>
      <c r="EO5" s="490"/>
      <c r="EP5" s="490"/>
    </row>
    <row r="6" spans="1:146" ht="130.5" customHeight="1">
      <c r="A6" s="1190"/>
      <c r="B6" s="491" t="s">
        <v>245</v>
      </c>
      <c r="C6" s="492" t="s">
        <v>303</v>
      </c>
      <c r="D6" s="1173"/>
      <c r="E6" s="1173"/>
      <c r="F6" s="1173"/>
      <c r="G6" s="1173"/>
      <c r="H6" s="1173"/>
      <c r="I6" s="1173"/>
      <c r="J6" s="1173"/>
      <c r="K6" s="1183"/>
      <c r="L6" s="1172"/>
      <c r="M6" s="1183"/>
      <c r="N6" s="1192"/>
      <c r="O6" s="1183"/>
      <c r="P6" s="1172"/>
      <c r="Q6" s="1178"/>
      <c r="R6" s="1178"/>
      <c r="S6" s="1178"/>
      <c r="T6" s="1183"/>
      <c r="U6" s="1172"/>
      <c r="V6" s="1172"/>
      <c r="W6" s="1172"/>
      <c r="X6" s="1183"/>
      <c r="Y6" s="1183"/>
      <c r="Z6" s="1183"/>
      <c r="AA6" s="1183"/>
      <c r="AB6" s="1185"/>
      <c r="AC6" s="1187"/>
      <c r="AD6" s="1189"/>
      <c r="AE6" s="1189"/>
      <c r="AF6" s="1183"/>
      <c r="AG6" s="1183"/>
      <c r="AH6" s="1183"/>
      <c r="AI6" s="1172"/>
      <c r="AJ6" s="1172"/>
      <c r="AK6" s="1183"/>
      <c r="AL6" s="1172"/>
      <c r="AM6" s="1183"/>
      <c r="AN6" s="1172"/>
      <c r="AO6" s="1183"/>
      <c r="AP6" s="1183"/>
      <c r="AQ6" s="1172"/>
      <c r="AR6" s="1183"/>
      <c r="AS6" s="1172"/>
      <c r="AT6" s="1172"/>
      <c r="AU6" s="1172"/>
      <c r="AV6" s="1183"/>
      <c r="AW6" s="1172"/>
      <c r="AX6" s="1172"/>
      <c r="AY6" s="1183"/>
      <c r="AZ6" s="1183"/>
      <c r="BA6" s="1172"/>
      <c r="BB6" s="1172"/>
      <c r="BC6" s="1172"/>
      <c r="BD6" s="1189"/>
      <c r="BE6" s="1183"/>
      <c r="BF6" s="1178"/>
      <c r="BG6" s="1172"/>
      <c r="BH6" s="1189"/>
      <c r="BI6" s="1189"/>
      <c r="BJ6" s="1189"/>
      <c r="BK6" s="1189"/>
      <c r="BL6" s="1172"/>
      <c r="BM6" s="1183"/>
      <c r="BN6" s="1183"/>
      <c r="BO6" s="1172"/>
      <c r="BP6" s="1186"/>
      <c r="BQ6" s="1172"/>
      <c r="BR6" s="1186"/>
      <c r="BS6" s="1186"/>
      <c r="BT6" s="1186"/>
      <c r="BU6" s="1186"/>
      <c r="BV6" s="1186"/>
      <c r="BW6" s="1186"/>
      <c r="BX6" s="1175"/>
      <c r="BY6" s="1172"/>
      <c r="BZ6" s="1172"/>
      <c r="CA6" s="1172"/>
      <c r="CB6" s="1183"/>
      <c r="CC6" s="1178"/>
      <c r="CD6" s="1189"/>
      <c r="CE6" s="1178"/>
      <c r="CF6" s="1178"/>
      <c r="CG6" s="1172"/>
      <c r="CH6" s="1186"/>
      <c r="CI6" s="1172"/>
      <c r="CJ6" s="1178"/>
      <c r="CK6" s="1178"/>
      <c r="CL6" s="1178"/>
      <c r="CM6" s="1172"/>
      <c r="CN6" s="1178"/>
      <c r="CO6" s="1178"/>
      <c r="CP6" s="1178"/>
      <c r="CQ6" s="1172"/>
      <c r="CR6" s="1172"/>
      <c r="CS6" s="1172"/>
      <c r="CT6" s="1172"/>
      <c r="CU6" s="1172"/>
      <c r="CV6" s="1201"/>
      <c r="CW6" s="1175"/>
      <c r="CX6" s="1178"/>
      <c r="CY6" s="1178"/>
      <c r="CZ6" s="1178"/>
      <c r="DA6" s="1175"/>
      <c r="DB6" s="1175"/>
      <c r="DC6" s="1194"/>
      <c r="DD6" s="1178"/>
      <c r="DE6" s="1178"/>
      <c r="DF6" s="1178"/>
      <c r="DG6" s="1173"/>
      <c r="DH6" s="1173"/>
      <c r="DI6" s="1173"/>
      <c r="DJ6" s="1176"/>
      <c r="DK6" s="1176"/>
      <c r="DL6" s="1173"/>
      <c r="DM6" s="1173"/>
      <c r="DN6" s="1173"/>
      <c r="DO6" s="1173"/>
      <c r="DP6" s="1173"/>
      <c r="DQ6" s="1175"/>
      <c r="DR6" s="1175"/>
      <c r="DS6" s="1175"/>
      <c r="DT6" s="1178"/>
      <c r="DU6" s="1175"/>
      <c r="DV6" s="1183"/>
      <c r="DW6" s="1172"/>
      <c r="DX6" s="1172"/>
      <c r="DY6" s="1172"/>
      <c r="DZ6" s="1172"/>
      <c r="EA6" s="1172"/>
      <c r="EB6" s="1183"/>
      <c r="EC6" s="1183"/>
      <c r="ED6" s="1172"/>
      <c r="EE6" s="1196"/>
      <c r="EF6" s="1183"/>
      <c r="EG6" s="1172"/>
      <c r="EH6" s="1172"/>
      <c r="EI6" s="1172"/>
      <c r="EJ6" s="1189"/>
      <c r="EK6" s="1189"/>
      <c r="EL6" s="1189"/>
      <c r="EM6" s="1189"/>
      <c r="EN6" s="1172"/>
      <c r="EO6" s="490"/>
      <c r="EP6" s="490"/>
    </row>
    <row r="7" spans="1:146" ht="16.5" customHeight="1">
      <c r="A7" s="493" t="s">
        <v>246</v>
      </c>
      <c r="B7" s="494" t="s">
        <v>247</v>
      </c>
      <c r="C7" s="494" t="s">
        <v>248</v>
      </c>
      <c r="D7" s="545" t="s">
        <v>249</v>
      </c>
      <c r="E7" s="545" t="s">
        <v>250</v>
      </c>
      <c r="F7" s="545" t="s">
        <v>251</v>
      </c>
      <c r="G7" s="545" t="s">
        <v>252</v>
      </c>
      <c r="H7" s="545" t="s">
        <v>253</v>
      </c>
      <c r="I7" s="545" t="s">
        <v>254</v>
      </c>
      <c r="J7" s="545" t="s">
        <v>255</v>
      </c>
      <c r="K7" s="545" t="s">
        <v>256</v>
      </c>
      <c r="L7" s="545" t="s">
        <v>283</v>
      </c>
      <c r="M7" s="545" t="s">
        <v>284</v>
      </c>
      <c r="N7" s="545" t="s">
        <v>285</v>
      </c>
      <c r="O7" s="545" t="s">
        <v>286</v>
      </c>
      <c r="P7" s="545" t="s">
        <v>287</v>
      </c>
      <c r="Q7" s="545" t="s">
        <v>288</v>
      </c>
      <c r="R7" s="545" t="s">
        <v>289</v>
      </c>
      <c r="S7" s="545" t="s">
        <v>290</v>
      </c>
      <c r="T7" s="545" t="s">
        <v>291</v>
      </c>
      <c r="U7" s="545" t="s">
        <v>322</v>
      </c>
      <c r="V7" s="545" t="s">
        <v>323</v>
      </c>
      <c r="W7" s="545" t="s">
        <v>324</v>
      </c>
      <c r="X7" s="545" t="s">
        <v>325</v>
      </c>
      <c r="Y7" s="545" t="s">
        <v>326</v>
      </c>
      <c r="Z7" s="545" t="s">
        <v>327</v>
      </c>
      <c r="AA7" s="545" t="s">
        <v>328</v>
      </c>
      <c r="AB7" s="545" t="s">
        <v>329</v>
      </c>
      <c r="AC7" s="545" t="s">
        <v>330</v>
      </c>
      <c r="AD7" s="545" t="s">
        <v>331</v>
      </c>
      <c r="AE7" s="545" t="s">
        <v>332</v>
      </c>
      <c r="AF7" s="545" t="s">
        <v>333</v>
      </c>
      <c r="AG7" s="545" t="s">
        <v>334</v>
      </c>
      <c r="AH7" s="545" t="s">
        <v>341</v>
      </c>
      <c r="AI7" s="545" t="s">
        <v>342</v>
      </c>
      <c r="AJ7" s="545" t="s">
        <v>343</v>
      </c>
      <c r="AK7" s="545" t="s">
        <v>344</v>
      </c>
      <c r="AL7" s="545" t="s">
        <v>345</v>
      </c>
      <c r="AM7" s="545" t="s">
        <v>346</v>
      </c>
      <c r="AN7" s="545" t="s">
        <v>347</v>
      </c>
      <c r="AO7" s="545" t="s">
        <v>348</v>
      </c>
      <c r="AP7" s="545" t="s">
        <v>349</v>
      </c>
      <c r="AQ7" s="545" t="s">
        <v>350</v>
      </c>
      <c r="AR7" s="545" t="s">
        <v>351</v>
      </c>
      <c r="AS7" s="545" t="s">
        <v>352</v>
      </c>
      <c r="AT7" s="545" t="s">
        <v>353</v>
      </c>
      <c r="AU7" s="545" t="s">
        <v>354</v>
      </c>
      <c r="AV7" s="545" t="s">
        <v>355</v>
      </c>
      <c r="AW7" s="545" t="s">
        <v>356</v>
      </c>
      <c r="AX7" s="545" t="s">
        <v>357</v>
      </c>
      <c r="AY7" s="545" t="s">
        <v>358</v>
      </c>
      <c r="AZ7" s="545" t="s">
        <v>359</v>
      </c>
      <c r="BA7" s="545" t="s">
        <v>1433</v>
      </c>
      <c r="BB7" s="545" t="s">
        <v>360</v>
      </c>
      <c r="BC7" s="545" t="s">
        <v>1434</v>
      </c>
      <c r="BD7" s="545" t="s">
        <v>361</v>
      </c>
      <c r="BE7" s="545" t="s">
        <v>362</v>
      </c>
      <c r="BF7" s="545" t="s">
        <v>363</v>
      </c>
      <c r="BG7" s="545" t="s">
        <v>364</v>
      </c>
      <c r="BH7" s="545" t="s">
        <v>365</v>
      </c>
      <c r="BI7" s="545" t="s">
        <v>366</v>
      </c>
      <c r="BJ7" s="545" t="s">
        <v>367</v>
      </c>
      <c r="BK7" s="545" t="s">
        <v>368</v>
      </c>
      <c r="BL7" s="545" t="s">
        <v>369</v>
      </c>
      <c r="BM7" s="545" t="s">
        <v>370</v>
      </c>
      <c r="BN7" s="545" t="s">
        <v>371</v>
      </c>
      <c r="BO7" s="545" t="s">
        <v>372</v>
      </c>
      <c r="BP7" s="545" t="s">
        <v>373</v>
      </c>
      <c r="BQ7" s="545" t="s">
        <v>374</v>
      </c>
      <c r="BR7" s="545" t="s">
        <v>1435</v>
      </c>
      <c r="BS7" s="545" t="s">
        <v>375</v>
      </c>
      <c r="BT7" s="545" t="s">
        <v>376</v>
      </c>
      <c r="BU7" s="545" t="s">
        <v>1436</v>
      </c>
      <c r="BV7" s="545" t="s">
        <v>1437</v>
      </c>
      <c r="BW7" s="545" t="s">
        <v>195</v>
      </c>
      <c r="BX7" s="545" t="s">
        <v>377</v>
      </c>
      <c r="BY7" s="545" t="s">
        <v>1438</v>
      </c>
      <c r="BZ7" s="545" t="s">
        <v>1439</v>
      </c>
      <c r="CA7" s="545" t="s">
        <v>378</v>
      </c>
      <c r="CB7" s="545" t="s">
        <v>379</v>
      </c>
      <c r="CC7" s="545" t="s">
        <v>380</v>
      </c>
      <c r="CD7" s="545" t="s">
        <v>381</v>
      </c>
      <c r="CE7" s="545" t="s">
        <v>382</v>
      </c>
      <c r="CF7" s="545" t="s">
        <v>383</v>
      </c>
      <c r="CG7" s="545" t="s">
        <v>384</v>
      </c>
      <c r="CH7" s="545" t="s">
        <v>385</v>
      </c>
      <c r="CI7" s="545" t="s">
        <v>1440</v>
      </c>
      <c r="CJ7" s="545" t="s">
        <v>1441</v>
      </c>
      <c r="CK7" s="545" t="s">
        <v>1442</v>
      </c>
      <c r="CL7" s="545" t="s">
        <v>1443</v>
      </c>
      <c r="CM7" s="545" t="s">
        <v>1444</v>
      </c>
      <c r="CN7" s="545" t="s">
        <v>1445</v>
      </c>
      <c r="CO7" s="545" t="s">
        <v>1446</v>
      </c>
      <c r="CP7" s="545" t="s">
        <v>1447</v>
      </c>
      <c r="CQ7" s="545" t="s">
        <v>1448</v>
      </c>
      <c r="CR7" s="545" t="s">
        <v>386</v>
      </c>
      <c r="CS7" s="545" t="s">
        <v>387</v>
      </c>
      <c r="CT7" s="545" t="s">
        <v>388</v>
      </c>
      <c r="CU7" s="545" t="s">
        <v>389</v>
      </c>
      <c r="CV7" s="545" t="s">
        <v>390</v>
      </c>
      <c r="CW7" s="545" t="s">
        <v>1449</v>
      </c>
      <c r="CX7" s="545" t="s">
        <v>535</v>
      </c>
      <c r="CY7" s="545" t="s">
        <v>1450</v>
      </c>
      <c r="CZ7" s="545" t="s">
        <v>536</v>
      </c>
      <c r="DA7" s="545" t="s">
        <v>391</v>
      </c>
      <c r="DB7" s="545" t="s">
        <v>392</v>
      </c>
      <c r="DC7" s="545" t="s">
        <v>393</v>
      </c>
      <c r="DD7" s="545" t="s">
        <v>1451</v>
      </c>
      <c r="DE7" s="545" t="s">
        <v>394</v>
      </c>
      <c r="DF7" s="545" t="s">
        <v>537</v>
      </c>
      <c r="DG7" s="545" t="s">
        <v>395</v>
      </c>
      <c r="DH7" s="545" t="s">
        <v>396</v>
      </c>
      <c r="DI7" s="545" t="s">
        <v>1452</v>
      </c>
      <c r="DJ7" s="545" t="s">
        <v>1453</v>
      </c>
      <c r="DK7" s="545" t="s">
        <v>400</v>
      </c>
      <c r="DL7" s="545" t="s">
        <v>401</v>
      </c>
      <c r="DM7" s="545" t="s">
        <v>402</v>
      </c>
      <c r="DN7" s="545" t="s">
        <v>403</v>
      </c>
      <c r="DO7" s="545" t="s">
        <v>404</v>
      </c>
      <c r="DP7" s="545" t="s">
        <v>1</v>
      </c>
      <c r="DQ7" s="545" t="s">
        <v>136</v>
      </c>
      <c r="DR7" s="545" t="s">
        <v>196</v>
      </c>
      <c r="DS7" s="545" t="s">
        <v>197</v>
      </c>
      <c r="DT7" s="545" t="s">
        <v>198</v>
      </c>
      <c r="DU7" s="545" t="s">
        <v>199</v>
      </c>
      <c r="DV7" s="545" t="s">
        <v>227</v>
      </c>
      <c r="DW7" s="545" t="s">
        <v>228</v>
      </c>
      <c r="DX7" s="545" t="s">
        <v>644</v>
      </c>
      <c r="DY7" s="545" t="s">
        <v>645</v>
      </c>
      <c r="DZ7" s="545" t="s">
        <v>1454</v>
      </c>
      <c r="EA7" s="545" t="s">
        <v>646</v>
      </c>
      <c r="EB7" s="545" t="s">
        <v>647</v>
      </c>
      <c r="EC7" s="545" t="s">
        <v>648</v>
      </c>
      <c r="ED7" s="545" t="s">
        <v>649</v>
      </c>
      <c r="EE7" s="545" t="s">
        <v>726</v>
      </c>
      <c r="EF7" s="545" t="s">
        <v>727</v>
      </c>
      <c r="EG7" s="545" t="s">
        <v>728</v>
      </c>
      <c r="EH7" s="545" t="s">
        <v>729</v>
      </c>
      <c r="EI7" s="545" t="s">
        <v>733</v>
      </c>
      <c r="EJ7" s="545" t="s">
        <v>1455</v>
      </c>
      <c r="EK7" s="545" t="s">
        <v>1456</v>
      </c>
      <c r="EL7" s="545" t="s">
        <v>764</v>
      </c>
      <c r="EM7" s="545" t="s">
        <v>838</v>
      </c>
      <c r="EN7" s="545" t="s">
        <v>1489</v>
      </c>
      <c r="EO7" s="495"/>
      <c r="EP7" s="495"/>
    </row>
    <row r="8" spans="1:147" ht="21.75" customHeight="1">
      <c r="A8" s="496" t="s">
        <v>246</v>
      </c>
      <c r="B8" s="497" t="s">
        <v>405</v>
      </c>
      <c r="C8" s="498" t="s">
        <v>257</v>
      </c>
      <c r="D8" s="523"/>
      <c r="E8" s="523"/>
      <c r="F8" s="523"/>
      <c r="G8" s="523"/>
      <c r="H8" s="523"/>
      <c r="I8" s="523"/>
      <c r="J8" s="523"/>
      <c r="K8" s="551"/>
      <c r="L8" s="551"/>
      <c r="M8" s="576"/>
      <c r="N8" s="551"/>
      <c r="O8" s="551"/>
      <c r="P8" s="551"/>
      <c r="Q8" s="523">
        <f>15979058+37021868</f>
        <v>53000926</v>
      </c>
      <c r="R8" s="523">
        <v>10119000</v>
      </c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>
        <v>1000000</v>
      </c>
      <c r="AH8" s="523"/>
      <c r="AI8" s="523"/>
      <c r="AJ8" s="523"/>
      <c r="AK8" s="523">
        <v>7576550</v>
      </c>
      <c r="AL8" s="551"/>
      <c r="AM8" s="551"/>
      <c r="AN8" s="523"/>
      <c r="AO8" s="523"/>
      <c r="AP8" s="523">
        <v>500000</v>
      </c>
      <c r="AQ8" s="575">
        <v>4498000</v>
      </c>
      <c r="AR8" s="523">
        <v>12449750</v>
      </c>
      <c r="AS8" s="523">
        <v>8095000</v>
      </c>
      <c r="AT8" s="523"/>
      <c r="AU8" s="523"/>
      <c r="AV8" s="523">
        <v>6101200</v>
      </c>
      <c r="AW8" s="523">
        <v>27302200</v>
      </c>
      <c r="AX8" s="523"/>
      <c r="AY8" s="523">
        <v>3190000</v>
      </c>
      <c r="AZ8" s="523"/>
      <c r="BA8" s="523"/>
      <c r="BB8" s="548">
        <f>30584000+3000000</f>
        <v>33584000</v>
      </c>
      <c r="BC8" s="551"/>
      <c r="BD8" s="523"/>
      <c r="BE8" s="523">
        <v>450000</v>
      </c>
      <c r="BF8" s="523"/>
      <c r="BG8" s="523"/>
      <c r="BH8" s="523"/>
      <c r="BI8" s="523"/>
      <c r="BJ8" s="523"/>
      <c r="BK8" s="523"/>
      <c r="BL8" s="523"/>
      <c r="BM8" s="523">
        <v>300000</v>
      </c>
      <c r="BN8" s="546">
        <f>460000+1200000+610000</f>
        <v>2270000</v>
      </c>
      <c r="BO8" s="523"/>
      <c r="BP8" s="523"/>
      <c r="BQ8" s="523">
        <v>428400</v>
      </c>
      <c r="BR8" s="523"/>
      <c r="BS8" s="523"/>
      <c r="BT8" s="523"/>
      <c r="BU8" s="523"/>
      <c r="BV8" s="523"/>
      <c r="BW8" s="523"/>
      <c r="BX8" s="523"/>
      <c r="BY8" s="523"/>
      <c r="BZ8" s="523"/>
      <c r="CA8" s="523"/>
      <c r="CB8" s="523"/>
      <c r="CC8" s="523">
        <v>3000000</v>
      </c>
      <c r="CD8" s="523">
        <f>(411600+1050000)+294000</f>
        <v>1755600</v>
      </c>
      <c r="CE8" s="523"/>
      <c r="CF8" s="523"/>
      <c r="CG8" s="523"/>
      <c r="CH8" s="523"/>
      <c r="CI8" s="551"/>
      <c r="CJ8" s="523"/>
      <c r="CK8" s="523"/>
      <c r="CL8" s="523"/>
      <c r="CM8" s="523"/>
      <c r="CN8" s="523"/>
      <c r="CO8" s="523"/>
      <c r="CP8" s="523">
        <v>4135000</v>
      </c>
      <c r="CQ8" s="551"/>
      <c r="CR8" s="551"/>
      <c r="CS8" s="551"/>
      <c r="CT8" s="551"/>
      <c r="CU8" s="551"/>
      <c r="CV8" s="523"/>
      <c r="CW8" s="523"/>
      <c r="CX8" s="523"/>
      <c r="CY8" s="523"/>
      <c r="CZ8" s="523"/>
      <c r="DA8" s="523"/>
      <c r="DB8" s="523"/>
      <c r="DC8" s="593"/>
      <c r="DD8" s="523"/>
      <c r="DE8" s="523"/>
      <c r="DF8" s="523"/>
      <c r="DG8" s="523"/>
      <c r="DH8" s="523"/>
      <c r="DI8" s="523"/>
      <c r="DJ8" s="523"/>
      <c r="DK8" s="523"/>
      <c r="DL8" s="523"/>
      <c r="DM8" s="523"/>
      <c r="DN8" s="523"/>
      <c r="DO8" s="523"/>
      <c r="DP8" s="523"/>
      <c r="DQ8" s="523"/>
      <c r="DR8" s="523"/>
      <c r="DS8" s="523"/>
      <c r="DT8" s="523"/>
      <c r="DU8" s="523"/>
      <c r="DV8" s="523"/>
      <c r="DW8" s="523"/>
      <c r="DX8" s="523"/>
      <c r="DY8" s="523"/>
      <c r="DZ8" s="523"/>
      <c r="EA8" s="523"/>
      <c r="EB8" s="551"/>
      <c r="EC8" s="551"/>
      <c r="ED8" s="551"/>
      <c r="EE8" s="551"/>
      <c r="EF8" s="551"/>
      <c r="EG8" s="551"/>
      <c r="EH8" s="551"/>
      <c r="EI8" s="551"/>
      <c r="EJ8" s="551">
        <f aca="true" t="shared" si="0" ref="EJ8:EJ50">SUMIF($D$4:$EI$4,"kötelező",D8:EI8)</f>
        <v>111159426</v>
      </c>
      <c r="EK8" s="551">
        <f aca="true" t="shared" si="1" ref="EK8:EK50">SUMIF($D$4:$EI$4,"önként vállalt",D8:EI8)</f>
        <v>68596200</v>
      </c>
      <c r="EL8" s="551">
        <f aca="true" t="shared" si="2" ref="EL8:EL50">SUMIF($D$4:$EI$4,"államigazgatási",D8:EI8)</f>
        <v>0</v>
      </c>
      <c r="EM8" s="551">
        <f aca="true" t="shared" si="3" ref="EM8:EM40">+EJ8+EK8+EL8</f>
        <v>179755626</v>
      </c>
      <c r="EN8" s="551">
        <f aca="true" t="shared" si="4" ref="EN8:EN50">CV8+CO8</f>
        <v>0</v>
      </c>
      <c r="EO8" s="500">
        <f aca="true" t="shared" si="5" ref="EO8:EO50">SUM(D8:EI8)</f>
        <v>179755626</v>
      </c>
      <c r="EP8" s="500">
        <f aca="true" t="shared" si="6" ref="EP8:EP36">+EO8-EM8</f>
        <v>0</v>
      </c>
      <c r="EQ8" s="501"/>
    </row>
    <row r="9" spans="1:147" s="503" customFormat="1" ht="21.75" customHeight="1">
      <c r="A9" s="496" t="s">
        <v>247</v>
      </c>
      <c r="B9" s="502" t="s">
        <v>258</v>
      </c>
      <c r="C9" s="498" t="s">
        <v>259</v>
      </c>
      <c r="D9" s="523"/>
      <c r="E9" s="523"/>
      <c r="F9" s="523"/>
      <c r="G9" s="523"/>
      <c r="H9" s="523"/>
      <c r="I9" s="523"/>
      <c r="J9" s="523"/>
      <c r="K9" s="548"/>
      <c r="L9" s="548"/>
      <c r="M9" s="577"/>
      <c r="N9" s="548"/>
      <c r="O9" s="548"/>
      <c r="P9" s="548"/>
      <c r="Q9" s="523">
        <f>3137849+7328264+100000+650000</f>
        <v>11216113</v>
      </c>
      <c r="R9" s="523">
        <f>2213118+600832+400000</f>
        <v>3213950</v>
      </c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>
        <v>1520196</v>
      </c>
      <c r="AL9" s="548"/>
      <c r="AM9" s="548"/>
      <c r="AN9" s="523"/>
      <c r="AO9" s="523"/>
      <c r="AP9" s="523">
        <v>135000</v>
      </c>
      <c r="AQ9" s="575">
        <v>929976</v>
      </c>
      <c r="AR9" s="523">
        <v>2488016</v>
      </c>
      <c r="AS9" s="523">
        <v>2186000</v>
      </c>
      <c r="AT9" s="523"/>
      <c r="AU9" s="523"/>
      <c r="AV9" s="523">
        <v>1189734</v>
      </c>
      <c r="AW9" s="523">
        <v>5803600</v>
      </c>
      <c r="AX9" s="523"/>
      <c r="AY9" s="523">
        <v>622050</v>
      </c>
      <c r="AZ9" s="523">
        <v>700000</v>
      </c>
      <c r="BA9" s="523"/>
      <c r="BB9" s="548">
        <v>6313477</v>
      </c>
      <c r="BC9" s="548"/>
      <c r="BD9" s="523"/>
      <c r="BE9" s="523">
        <v>200000</v>
      </c>
      <c r="BF9" s="523"/>
      <c r="BG9" s="523"/>
      <c r="BH9" s="523"/>
      <c r="BI9" s="523"/>
      <c r="BJ9" s="523"/>
      <c r="BK9" s="523"/>
      <c r="BL9" s="523"/>
      <c r="BM9" s="523">
        <v>60000</v>
      </c>
      <c r="BN9" s="546">
        <f>102000+267000+246000</f>
        <v>615000</v>
      </c>
      <c r="BO9" s="523"/>
      <c r="BP9" s="523"/>
      <c r="BQ9" s="523">
        <v>0</v>
      </c>
      <c r="BR9" s="523"/>
      <c r="BS9" s="523"/>
      <c r="BT9" s="523"/>
      <c r="BU9" s="523"/>
      <c r="BV9" s="523"/>
      <c r="BW9" s="523"/>
      <c r="BX9" s="523"/>
      <c r="BY9" s="523"/>
      <c r="BZ9" s="523"/>
      <c r="CA9" s="523"/>
      <c r="CB9" s="523"/>
      <c r="CC9" s="523">
        <v>405000</v>
      </c>
      <c r="CD9" s="523"/>
      <c r="CE9" s="523"/>
      <c r="CF9" s="523"/>
      <c r="CG9" s="523"/>
      <c r="CH9" s="523"/>
      <c r="CI9" s="548"/>
      <c r="CJ9" s="523"/>
      <c r="CK9" s="523"/>
      <c r="CL9" s="523"/>
      <c r="CM9" s="523"/>
      <c r="CN9" s="523"/>
      <c r="CO9" s="523"/>
      <c r="CP9" s="523">
        <v>785703</v>
      </c>
      <c r="CQ9" s="548"/>
      <c r="CR9" s="548"/>
      <c r="CS9" s="548"/>
      <c r="CT9" s="548"/>
      <c r="CU9" s="548"/>
      <c r="CV9" s="523"/>
      <c r="CW9" s="523"/>
      <c r="CX9" s="523"/>
      <c r="CY9" s="523"/>
      <c r="CZ9" s="523"/>
      <c r="DA9" s="523"/>
      <c r="DB9" s="523"/>
      <c r="DC9" s="593"/>
      <c r="DD9" s="523"/>
      <c r="DE9" s="523"/>
      <c r="DF9" s="523"/>
      <c r="DG9" s="523"/>
      <c r="DH9" s="523"/>
      <c r="DI9" s="523"/>
      <c r="DJ9" s="523"/>
      <c r="DK9" s="523"/>
      <c r="DL9" s="523"/>
      <c r="DM9" s="523"/>
      <c r="DN9" s="523"/>
      <c r="DO9" s="523"/>
      <c r="DP9" s="523"/>
      <c r="DQ9" s="523"/>
      <c r="DR9" s="523"/>
      <c r="DS9" s="523"/>
      <c r="DT9" s="523"/>
      <c r="DU9" s="523"/>
      <c r="DV9" s="523"/>
      <c r="DW9" s="523"/>
      <c r="DX9" s="523"/>
      <c r="DY9" s="523"/>
      <c r="DZ9" s="523"/>
      <c r="EA9" s="523"/>
      <c r="EB9" s="548"/>
      <c r="EC9" s="548"/>
      <c r="ED9" s="548"/>
      <c r="EE9" s="548"/>
      <c r="EF9" s="548"/>
      <c r="EG9" s="548"/>
      <c r="EH9" s="548"/>
      <c r="EI9" s="548"/>
      <c r="EJ9" s="551">
        <f t="shared" si="0"/>
        <v>23934688</v>
      </c>
      <c r="EK9" s="551">
        <f t="shared" si="1"/>
        <v>14449127</v>
      </c>
      <c r="EL9" s="551">
        <f t="shared" si="2"/>
        <v>0</v>
      </c>
      <c r="EM9" s="551">
        <f t="shared" si="3"/>
        <v>38383815</v>
      </c>
      <c r="EN9" s="551">
        <f t="shared" si="4"/>
        <v>0</v>
      </c>
      <c r="EO9" s="500">
        <f t="shared" si="5"/>
        <v>38383815</v>
      </c>
      <c r="EP9" s="500">
        <f t="shared" si="6"/>
        <v>0</v>
      </c>
      <c r="EQ9" s="501"/>
    </row>
    <row r="10" spans="1:148" ht="21.75" customHeight="1">
      <c r="A10" s="496" t="s">
        <v>248</v>
      </c>
      <c r="B10" s="502" t="s">
        <v>406</v>
      </c>
      <c r="C10" s="498" t="s">
        <v>260</v>
      </c>
      <c r="D10" s="593"/>
      <c r="E10" s="593"/>
      <c r="F10" s="593"/>
      <c r="G10" s="593"/>
      <c r="H10" s="593"/>
      <c r="I10" s="593"/>
      <c r="J10" s="593">
        <v>1000000</v>
      </c>
      <c r="K10" s="671"/>
      <c r="L10" s="499"/>
      <c r="M10" s="948"/>
      <c r="N10" s="499"/>
      <c r="O10" s="499"/>
      <c r="P10" s="499"/>
      <c r="Q10" s="593">
        <v>3607000</v>
      </c>
      <c r="R10" s="593">
        <f>26923000+650000+650000</f>
        <v>28223000</v>
      </c>
      <c r="S10" s="593">
        <v>500000</v>
      </c>
      <c r="T10" s="593">
        <f>7000000+114300</f>
        <v>7114300</v>
      </c>
      <c r="U10" s="593">
        <f>10000000</f>
        <v>10000000</v>
      </c>
      <c r="V10" s="593"/>
      <c r="W10" s="593">
        <v>10000000</v>
      </c>
      <c r="X10" s="593">
        <v>10000000</v>
      </c>
      <c r="Y10" s="593">
        <v>12000000</v>
      </c>
      <c r="Z10" s="593">
        <f>223850000+312420+1174750</f>
        <v>225337170</v>
      </c>
      <c r="AA10" s="593">
        <f>30000000+76200+7988300</f>
        <v>38064500</v>
      </c>
      <c r="AB10" s="593">
        <f>20000000+25000000</f>
        <v>45000000</v>
      </c>
      <c r="AC10" s="593">
        <v>5000000</v>
      </c>
      <c r="AD10" s="593">
        <f>127000000+20000000</f>
        <v>147000000</v>
      </c>
      <c r="AE10" s="593">
        <f>24000000+24000000+4000000+1000000+12000000+2000000+3000000+5000000+985266+862965</f>
        <v>76848231</v>
      </c>
      <c r="AF10" s="593">
        <f>29100000+381000+381000+420000</f>
        <v>30282000</v>
      </c>
      <c r="AG10" s="593">
        <v>1900000</v>
      </c>
      <c r="AH10" s="593">
        <v>4200000</v>
      </c>
      <c r="AI10" s="593">
        <v>5000000</v>
      </c>
      <c r="AJ10" s="593">
        <f>11200000+1714500+190500+139700+254000</f>
        <v>13498700</v>
      </c>
      <c r="AK10" s="593">
        <f>21775000+810788+254000</f>
        <v>22839788</v>
      </c>
      <c r="AL10" s="499"/>
      <c r="AM10" s="499"/>
      <c r="AN10" s="593">
        <v>1575000</v>
      </c>
      <c r="AO10" s="593">
        <v>500000</v>
      </c>
      <c r="AP10" s="593"/>
      <c r="AQ10" s="949">
        <v>500000</v>
      </c>
      <c r="AR10" s="593">
        <v>10812812</v>
      </c>
      <c r="AS10" s="593">
        <v>2000000</v>
      </c>
      <c r="AT10" s="593">
        <v>1000000</v>
      </c>
      <c r="AU10" s="593">
        <v>2000000</v>
      </c>
      <c r="AV10" s="593">
        <f>13118000+960120+1000000</f>
        <v>15078120</v>
      </c>
      <c r="AW10" s="593">
        <f>15861750+800000+168000+162814</f>
        <v>16992564</v>
      </c>
      <c r="AX10" s="593">
        <f>50000000+5000000+2000000+3500000</f>
        <v>60500000</v>
      </c>
      <c r="AY10" s="593">
        <v>14580000</v>
      </c>
      <c r="AZ10" s="593">
        <v>40000000</v>
      </c>
      <c r="BA10" s="593">
        <v>4000000</v>
      </c>
      <c r="BB10" s="671">
        <f>43238000-508000+160000+256619+187960+994156-7580000</f>
        <v>36748735</v>
      </c>
      <c r="BC10" s="499">
        <v>25000000</v>
      </c>
      <c r="BD10" s="593">
        <v>21000000</v>
      </c>
      <c r="BE10" s="593">
        <v>1600000</v>
      </c>
      <c r="BF10" s="593">
        <v>6000000</v>
      </c>
      <c r="BG10" s="593"/>
      <c r="BH10" s="593"/>
      <c r="BI10" s="593"/>
      <c r="BJ10" s="593"/>
      <c r="BK10" s="593"/>
      <c r="BL10" s="593">
        <v>2400000</v>
      </c>
      <c r="BM10" s="593">
        <f>6000000+3000000+1324432</f>
        <v>10324432</v>
      </c>
      <c r="BN10" s="593">
        <f>460000+1200000</f>
        <v>1660000</v>
      </c>
      <c r="BO10" s="593">
        <v>500000</v>
      </c>
      <c r="BP10" s="593">
        <v>4891000</v>
      </c>
      <c r="BQ10" s="593">
        <f>400000+2000000</f>
        <v>2400000</v>
      </c>
      <c r="BR10" s="593">
        <v>5000000</v>
      </c>
      <c r="BS10" s="593"/>
      <c r="BT10" s="593"/>
      <c r="BU10" s="593"/>
      <c r="BV10" s="593"/>
      <c r="BW10" s="593"/>
      <c r="BX10" s="593"/>
      <c r="BY10" s="593"/>
      <c r="BZ10" s="593">
        <f>635000+210825+184471</f>
        <v>1030296</v>
      </c>
      <c r="CA10" s="593">
        <f>15988500+1000000</f>
        <v>16988500</v>
      </c>
      <c r="CB10" s="593">
        <v>13851289</v>
      </c>
      <c r="CC10" s="593">
        <v>1000000</v>
      </c>
      <c r="CD10" s="593">
        <f>(4533900+2800000+240100)+(3238500+2000000)</f>
        <v>12812500</v>
      </c>
      <c r="CE10" s="593"/>
      <c r="CF10" s="593"/>
      <c r="CG10" s="593"/>
      <c r="CH10" s="593"/>
      <c r="CI10" s="499"/>
      <c r="CJ10" s="593"/>
      <c r="CK10" s="593"/>
      <c r="CL10" s="593">
        <v>4049746</v>
      </c>
      <c r="CM10" s="593">
        <f>44628209-381000</f>
        <v>44247209</v>
      </c>
      <c r="CN10" s="593">
        <v>762000</v>
      </c>
      <c r="CO10" s="593"/>
      <c r="CP10" s="593">
        <f>37866260+1128779</f>
        <v>38995039</v>
      </c>
      <c r="CQ10" s="499">
        <f>41769207</f>
        <v>41769207</v>
      </c>
      <c r="CR10" s="499">
        <f>55399527-11962+152400</f>
        <v>55539965</v>
      </c>
      <c r="CS10" s="499">
        <v>3931991</v>
      </c>
      <c r="CT10" s="499">
        <v>28273793</v>
      </c>
      <c r="CU10" s="499"/>
      <c r="CV10" s="593">
        <v>12180711</v>
      </c>
      <c r="CW10" s="593"/>
      <c r="CX10" s="593"/>
      <c r="CY10" s="593"/>
      <c r="CZ10" s="593"/>
      <c r="DA10" s="593"/>
      <c r="DB10" s="593"/>
      <c r="DC10" s="593">
        <v>1656000</v>
      </c>
      <c r="DD10" s="593"/>
      <c r="DE10" s="593"/>
      <c r="DF10" s="593"/>
      <c r="DG10" s="593"/>
      <c r="DH10" s="593"/>
      <c r="DI10" s="593"/>
      <c r="DJ10" s="593"/>
      <c r="DK10" s="593"/>
      <c r="DL10" s="593"/>
      <c r="DM10" s="593"/>
      <c r="DN10" s="593"/>
      <c r="DO10" s="593"/>
      <c r="DP10" s="593"/>
      <c r="DQ10" s="593"/>
      <c r="DR10" s="593"/>
      <c r="DS10" s="593"/>
      <c r="DT10" s="593"/>
      <c r="DU10" s="593"/>
      <c r="DV10" s="593">
        <f>11684000+2926080</f>
        <v>14610080</v>
      </c>
      <c r="DW10" s="593">
        <v>13500000</v>
      </c>
      <c r="DX10" s="593"/>
      <c r="DY10" s="593"/>
      <c r="DZ10" s="593"/>
      <c r="EA10" s="593">
        <f>40000000</f>
        <v>40000000</v>
      </c>
      <c r="EB10" s="499"/>
      <c r="EC10" s="499"/>
      <c r="ED10" s="499"/>
      <c r="EE10" s="499"/>
      <c r="EF10" s="499"/>
      <c r="EG10" s="499"/>
      <c r="EH10" s="499"/>
      <c r="EI10" s="499"/>
      <c r="EJ10" s="499">
        <f t="shared" si="0"/>
        <v>1084304071</v>
      </c>
      <c r="EK10" s="499">
        <f t="shared" si="1"/>
        <v>245371607</v>
      </c>
      <c r="EL10" s="499">
        <f t="shared" si="2"/>
        <v>0</v>
      </c>
      <c r="EM10" s="499">
        <f t="shared" si="3"/>
        <v>1329675678</v>
      </c>
      <c r="EN10" s="499">
        <f t="shared" si="4"/>
        <v>12180711</v>
      </c>
      <c r="EO10" s="500">
        <f t="shared" si="5"/>
        <v>1329675678</v>
      </c>
      <c r="EP10" s="500">
        <f t="shared" si="6"/>
        <v>0</v>
      </c>
      <c r="EQ10" s="501">
        <v>1288029137</v>
      </c>
      <c r="ER10" s="501">
        <f>+EQ10-EM10</f>
        <v>-41646541</v>
      </c>
    </row>
    <row r="11" spans="1:148" ht="21.75" customHeight="1">
      <c r="A11" s="496" t="s">
        <v>249</v>
      </c>
      <c r="B11" s="505" t="s">
        <v>407</v>
      </c>
      <c r="C11" s="498" t="s">
        <v>261</v>
      </c>
      <c r="D11" s="523"/>
      <c r="E11" s="523"/>
      <c r="F11" s="523"/>
      <c r="G11" s="523"/>
      <c r="H11" s="523"/>
      <c r="I11" s="523"/>
      <c r="J11" s="523"/>
      <c r="K11" s="551"/>
      <c r="L11" s="551"/>
      <c r="M11" s="576"/>
      <c r="N11" s="551"/>
      <c r="O11" s="551"/>
      <c r="P11" s="551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51"/>
      <c r="AM11" s="551"/>
      <c r="AN11" s="523"/>
      <c r="AO11" s="523"/>
      <c r="AP11" s="523"/>
      <c r="AQ11" s="575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51"/>
      <c r="BC11" s="551"/>
      <c r="BD11" s="523"/>
      <c r="BE11" s="523"/>
      <c r="BF11" s="523"/>
      <c r="BG11" s="523"/>
      <c r="BH11" s="523"/>
      <c r="BI11" s="523"/>
      <c r="BJ11" s="523"/>
      <c r="BK11" s="523"/>
      <c r="BL11" s="523"/>
      <c r="BM11" s="523"/>
      <c r="BN11" s="523"/>
      <c r="BO11" s="523"/>
      <c r="BP11" s="523"/>
      <c r="BQ11" s="523"/>
      <c r="BR11" s="523"/>
      <c r="BS11" s="523"/>
      <c r="BT11" s="523"/>
      <c r="BU11" s="523"/>
      <c r="BV11" s="523"/>
      <c r="BW11" s="523"/>
      <c r="BX11" s="523"/>
      <c r="BY11" s="523"/>
      <c r="BZ11" s="523"/>
      <c r="CA11" s="523"/>
      <c r="CB11" s="523"/>
      <c r="CC11" s="523"/>
      <c r="CD11" s="523"/>
      <c r="CE11" s="523"/>
      <c r="CF11" s="523"/>
      <c r="CG11" s="523"/>
      <c r="CH11" s="523"/>
      <c r="CI11" s="551"/>
      <c r="CJ11" s="523"/>
      <c r="CK11" s="523"/>
      <c r="CL11" s="523"/>
      <c r="CM11" s="523"/>
      <c r="CN11" s="523"/>
      <c r="CO11" s="523"/>
      <c r="CP11" s="523"/>
      <c r="CQ11" s="551"/>
      <c r="CR11" s="551"/>
      <c r="CS11" s="551"/>
      <c r="CT11" s="551"/>
      <c r="CU11" s="551"/>
      <c r="CV11" s="523"/>
      <c r="CW11" s="523"/>
      <c r="CX11" s="523">
        <f>'9.sz. Szociális'!E9+'9.sz. Szociális'!E10+'9.sz. Szociális'!E11+'9.sz. Szociális'!E12</f>
        <v>27500000</v>
      </c>
      <c r="CY11" s="523">
        <f>+'9.sz. Szociális'!E13</f>
        <v>1000000</v>
      </c>
      <c r="CZ11" s="523">
        <f>+'9.sz. Szociális'!E14</f>
        <v>2300000</v>
      </c>
      <c r="DA11" s="523">
        <f>+'9.sz. Szociális'!E15</f>
        <v>2508938</v>
      </c>
      <c r="DB11" s="523">
        <f>+'9.sz. Szociális'!E16</f>
        <v>3000000</v>
      </c>
      <c r="DC11" s="593"/>
      <c r="DD11" s="523">
        <f>+'9.sz. Szociális'!E17</f>
        <v>500000</v>
      </c>
      <c r="DE11" s="523">
        <f>'9.sz. Szociális'!E18</f>
        <v>500000</v>
      </c>
      <c r="DF11" s="523">
        <f>'9.sz. Szociális'!E19</f>
        <v>4500000</v>
      </c>
      <c r="DG11" s="523"/>
      <c r="DH11" s="523"/>
      <c r="DI11" s="523"/>
      <c r="DJ11" s="523"/>
      <c r="DK11" s="523"/>
      <c r="DL11" s="523"/>
      <c r="DM11" s="523"/>
      <c r="DN11" s="523"/>
      <c r="DO11" s="523"/>
      <c r="DP11" s="523"/>
      <c r="DQ11" s="523"/>
      <c r="DR11" s="523"/>
      <c r="DS11" s="523"/>
      <c r="DT11" s="523"/>
      <c r="DU11" s="523"/>
      <c r="DV11" s="523"/>
      <c r="DW11" s="523"/>
      <c r="DX11" s="523"/>
      <c r="DY11" s="523"/>
      <c r="DZ11" s="523"/>
      <c r="EA11" s="523"/>
      <c r="EB11" s="551"/>
      <c r="EC11" s="551"/>
      <c r="ED11" s="551"/>
      <c r="EE11" s="551"/>
      <c r="EF11" s="551"/>
      <c r="EG11" s="551"/>
      <c r="EH11" s="551"/>
      <c r="EI11" s="551"/>
      <c r="EJ11" s="551">
        <f t="shared" si="0"/>
        <v>37808938</v>
      </c>
      <c r="EK11" s="551">
        <f t="shared" si="1"/>
        <v>3000000</v>
      </c>
      <c r="EL11" s="551">
        <f t="shared" si="2"/>
        <v>1000000</v>
      </c>
      <c r="EM11" s="551">
        <f>+EJ11+EK11+EL11</f>
        <v>41808938</v>
      </c>
      <c r="EN11" s="551">
        <f t="shared" si="4"/>
        <v>0</v>
      </c>
      <c r="EO11" s="500">
        <f t="shared" si="5"/>
        <v>41808938</v>
      </c>
      <c r="EP11" s="500">
        <f t="shared" si="6"/>
        <v>0</v>
      </c>
      <c r="EQ11" s="488">
        <v>43456000</v>
      </c>
      <c r="ER11" s="501">
        <f aca="true" t="shared" si="7" ref="ER11:ER17">+EQ11-EM11</f>
        <v>1647062</v>
      </c>
    </row>
    <row r="12" spans="1:148" ht="21.75" customHeight="1">
      <c r="A12" s="496" t="s">
        <v>250</v>
      </c>
      <c r="B12" s="505" t="s">
        <v>292</v>
      </c>
      <c r="C12" s="498" t="s">
        <v>262</v>
      </c>
      <c r="D12" s="523">
        <f>+D13+D14+D15</f>
        <v>0</v>
      </c>
      <c r="E12" s="523">
        <f aca="true" t="shared" si="8" ref="E12:BA12">+E13+E14+E15</f>
        <v>0</v>
      </c>
      <c r="F12" s="523">
        <f t="shared" si="8"/>
        <v>0</v>
      </c>
      <c r="G12" s="523"/>
      <c r="H12" s="523">
        <f t="shared" si="8"/>
        <v>0</v>
      </c>
      <c r="I12" s="523">
        <f t="shared" si="8"/>
        <v>0</v>
      </c>
      <c r="J12" s="523">
        <f aca="true" t="shared" si="9" ref="J12:P12">+J13+J14+J15</f>
        <v>0</v>
      </c>
      <c r="K12" s="523">
        <f t="shared" si="9"/>
        <v>0</v>
      </c>
      <c r="L12" s="523">
        <f t="shared" si="9"/>
        <v>0</v>
      </c>
      <c r="M12" s="523">
        <f t="shared" si="9"/>
        <v>0</v>
      </c>
      <c r="N12" s="523">
        <f t="shared" si="9"/>
        <v>0</v>
      </c>
      <c r="O12" s="523">
        <f t="shared" si="9"/>
        <v>0</v>
      </c>
      <c r="P12" s="523">
        <f t="shared" si="9"/>
        <v>0</v>
      </c>
      <c r="Q12" s="523">
        <f t="shared" si="8"/>
        <v>0</v>
      </c>
      <c r="R12" s="523">
        <f t="shared" si="8"/>
        <v>0</v>
      </c>
      <c r="S12" s="523">
        <f aca="true" t="shared" si="10" ref="S12:X12">+S13+S14+S15</f>
        <v>0</v>
      </c>
      <c r="T12" s="523">
        <f t="shared" si="10"/>
        <v>0</v>
      </c>
      <c r="U12" s="523">
        <f t="shared" si="10"/>
        <v>0</v>
      </c>
      <c r="V12" s="523">
        <f t="shared" si="10"/>
        <v>0</v>
      </c>
      <c r="W12" s="523">
        <f t="shared" si="10"/>
        <v>0</v>
      </c>
      <c r="X12" s="523">
        <f t="shared" si="10"/>
        <v>0</v>
      </c>
      <c r="Y12" s="523">
        <f t="shared" si="8"/>
        <v>0</v>
      </c>
      <c r="Z12" s="523">
        <f t="shared" si="8"/>
        <v>0</v>
      </c>
      <c r="AA12" s="523">
        <f t="shared" si="8"/>
        <v>0</v>
      </c>
      <c r="AB12" s="523">
        <f t="shared" si="8"/>
        <v>0</v>
      </c>
      <c r="AC12" s="523">
        <f t="shared" si="8"/>
        <v>0</v>
      </c>
      <c r="AD12" s="523">
        <f t="shared" si="8"/>
        <v>0</v>
      </c>
      <c r="AE12" s="523">
        <f t="shared" si="8"/>
        <v>0</v>
      </c>
      <c r="AF12" s="523">
        <f t="shared" si="8"/>
        <v>0</v>
      </c>
      <c r="AG12" s="523">
        <f t="shared" si="8"/>
        <v>0</v>
      </c>
      <c r="AH12" s="523">
        <f t="shared" si="8"/>
        <v>0</v>
      </c>
      <c r="AI12" s="523">
        <f t="shared" si="8"/>
        <v>0</v>
      </c>
      <c r="AJ12" s="523">
        <f t="shared" si="8"/>
        <v>0</v>
      </c>
      <c r="AK12" s="523">
        <f t="shared" si="8"/>
        <v>0</v>
      </c>
      <c r="AL12" s="523">
        <f>+AL13+AL14+AL15</f>
        <v>0</v>
      </c>
      <c r="AM12" s="523">
        <f>+AM13+AM14+AM15</f>
        <v>0</v>
      </c>
      <c r="AN12" s="523">
        <f t="shared" si="8"/>
        <v>0</v>
      </c>
      <c r="AO12" s="523">
        <f>+AO13+AO14+AO15</f>
        <v>0</v>
      </c>
      <c r="AP12" s="523">
        <f t="shared" si="8"/>
        <v>0</v>
      </c>
      <c r="AQ12" s="523">
        <f t="shared" si="8"/>
        <v>0</v>
      </c>
      <c r="AR12" s="523">
        <f t="shared" si="8"/>
        <v>0</v>
      </c>
      <c r="AS12" s="523">
        <f>+AS13+AS14+AS15</f>
        <v>0</v>
      </c>
      <c r="AT12" s="523">
        <f t="shared" si="8"/>
        <v>0</v>
      </c>
      <c r="AU12" s="523">
        <f t="shared" si="8"/>
        <v>0</v>
      </c>
      <c r="AV12" s="523">
        <f t="shared" si="8"/>
        <v>0</v>
      </c>
      <c r="AW12" s="523">
        <f t="shared" si="8"/>
        <v>0</v>
      </c>
      <c r="AX12" s="523">
        <f t="shared" si="8"/>
        <v>0</v>
      </c>
      <c r="AY12" s="523">
        <f t="shared" si="8"/>
        <v>0</v>
      </c>
      <c r="AZ12" s="523">
        <f t="shared" si="8"/>
        <v>0</v>
      </c>
      <c r="BA12" s="523">
        <f t="shared" si="8"/>
        <v>0</v>
      </c>
      <c r="BB12" s="523">
        <f aca="true" t="shared" si="11" ref="BB12:BG12">+BB13+BB14+BB15</f>
        <v>0</v>
      </c>
      <c r="BC12" s="523">
        <f t="shared" si="11"/>
        <v>0</v>
      </c>
      <c r="BD12" s="523">
        <f t="shared" si="11"/>
        <v>0</v>
      </c>
      <c r="BE12" s="523">
        <f t="shared" si="11"/>
        <v>0</v>
      </c>
      <c r="BF12" s="523">
        <f t="shared" si="11"/>
        <v>0</v>
      </c>
      <c r="BG12" s="523">
        <f t="shared" si="11"/>
        <v>0</v>
      </c>
      <c r="BH12" s="523"/>
      <c r="BI12" s="523">
        <f>+BI13+BI14+BI15</f>
        <v>0</v>
      </c>
      <c r="BJ12" s="523"/>
      <c r="BK12" s="523">
        <f aca="true" t="shared" si="12" ref="BK12:BR12">+BK13+BK14+BK15</f>
        <v>0</v>
      </c>
      <c r="BL12" s="523">
        <f t="shared" si="12"/>
        <v>0</v>
      </c>
      <c r="BM12" s="523">
        <f t="shared" si="12"/>
        <v>0</v>
      </c>
      <c r="BN12" s="523">
        <f t="shared" si="12"/>
        <v>0</v>
      </c>
      <c r="BO12" s="523">
        <f t="shared" si="12"/>
        <v>0</v>
      </c>
      <c r="BP12" s="523">
        <f t="shared" si="12"/>
        <v>0</v>
      </c>
      <c r="BQ12" s="523">
        <f t="shared" si="12"/>
        <v>0</v>
      </c>
      <c r="BR12" s="523">
        <f t="shared" si="12"/>
        <v>0</v>
      </c>
      <c r="BS12" s="523"/>
      <c r="BT12" s="523"/>
      <c r="BU12" s="523"/>
      <c r="BV12" s="523"/>
      <c r="BW12" s="523"/>
      <c r="BX12" s="523">
        <f aca="true" t="shared" si="13" ref="BX12:CE12">+BX13+BX14+BX15</f>
        <v>818887716</v>
      </c>
      <c r="BY12" s="523">
        <f t="shared" si="13"/>
        <v>0</v>
      </c>
      <c r="BZ12" s="523">
        <f t="shared" si="13"/>
        <v>0</v>
      </c>
      <c r="CA12" s="523">
        <f t="shared" si="13"/>
        <v>0</v>
      </c>
      <c r="CB12" s="523">
        <f t="shared" si="13"/>
        <v>0</v>
      </c>
      <c r="CC12" s="523">
        <f t="shared" si="13"/>
        <v>0</v>
      </c>
      <c r="CD12" s="523">
        <f t="shared" si="13"/>
        <v>0</v>
      </c>
      <c r="CE12" s="523">
        <f t="shared" si="13"/>
        <v>0</v>
      </c>
      <c r="CF12" s="523"/>
      <c r="CG12" s="523">
        <f aca="true" t="shared" si="14" ref="CG12:CQ12">+CG13+CG14+CG15</f>
        <v>0</v>
      </c>
      <c r="CH12" s="523">
        <f t="shared" si="14"/>
        <v>0</v>
      </c>
      <c r="CI12" s="523">
        <f t="shared" si="14"/>
        <v>355126625</v>
      </c>
      <c r="CJ12" s="523">
        <f t="shared" si="14"/>
        <v>0</v>
      </c>
      <c r="CK12" s="523">
        <f t="shared" si="14"/>
        <v>0</v>
      </c>
      <c r="CL12" s="523">
        <f t="shared" si="14"/>
        <v>0</v>
      </c>
      <c r="CM12" s="523">
        <f t="shared" si="14"/>
        <v>0</v>
      </c>
      <c r="CN12" s="523">
        <f t="shared" si="14"/>
        <v>0</v>
      </c>
      <c r="CO12" s="523">
        <f t="shared" si="14"/>
        <v>0</v>
      </c>
      <c r="CP12" s="523">
        <f t="shared" si="14"/>
        <v>0</v>
      </c>
      <c r="CQ12" s="523">
        <f t="shared" si="14"/>
        <v>0</v>
      </c>
      <c r="CR12" s="523"/>
      <c r="CS12" s="523"/>
      <c r="CT12" s="523"/>
      <c r="CU12" s="523"/>
      <c r="CV12" s="523">
        <f>+CV13+CV14+CV15</f>
        <v>0</v>
      </c>
      <c r="CW12" s="523">
        <f aca="true" t="shared" si="15" ref="CW12:DB12">+CW13+CW14+CW15</f>
        <v>0</v>
      </c>
      <c r="CX12" s="523">
        <f t="shared" si="15"/>
        <v>0</v>
      </c>
      <c r="CY12" s="523">
        <f t="shared" si="15"/>
        <v>0</v>
      </c>
      <c r="CZ12" s="523">
        <f t="shared" si="15"/>
        <v>0</v>
      </c>
      <c r="DA12" s="523">
        <f t="shared" si="15"/>
        <v>0</v>
      </c>
      <c r="DB12" s="523">
        <f t="shared" si="15"/>
        <v>0</v>
      </c>
      <c r="DC12" s="593"/>
      <c r="DD12" s="523">
        <f aca="true" t="shared" si="16" ref="DD12:EI12">+DD13+DD14+DD15</f>
        <v>0</v>
      </c>
      <c r="DE12" s="523">
        <f t="shared" si="16"/>
        <v>0</v>
      </c>
      <c r="DF12" s="523">
        <f t="shared" si="16"/>
        <v>0</v>
      </c>
      <c r="DG12" s="523">
        <f t="shared" si="16"/>
        <v>0</v>
      </c>
      <c r="DH12" s="523">
        <f t="shared" si="16"/>
        <v>0</v>
      </c>
      <c r="DI12" s="523">
        <f t="shared" si="16"/>
        <v>0</v>
      </c>
      <c r="DJ12" s="523">
        <f t="shared" si="16"/>
        <v>13085448</v>
      </c>
      <c r="DK12" s="523">
        <f t="shared" si="16"/>
        <v>75789412</v>
      </c>
      <c r="DL12" s="523">
        <f t="shared" si="16"/>
        <v>3078000</v>
      </c>
      <c r="DM12" s="523">
        <f t="shared" si="16"/>
        <v>0</v>
      </c>
      <c r="DN12" s="523">
        <f t="shared" si="16"/>
        <v>0</v>
      </c>
      <c r="DO12" s="523">
        <f t="shared" si="16"/>
        <v>1000000</v>
      </c>
      <c r="DP12" s="523">
        <f t="shared" si="16"/>
        <v>0</v>
      </c>
      <c r="DQ12" s="523">
        <f t="shared" si="16"/>
        <v>4400000</v>
      </c>
      <c r="DR12" s="523">
        <f t="shared" si="16"/>
        <v>70000</v>
      </c>
      <c r="DS12" s="523">
        <f t="shared" si="16"/>
        <v>72000000</v>
      </c>
      <c r="DT12" s="523">
        <f t="shared" si="16"/>
        <v>4000000</v>
      </c>
      <c r="DU12" s="523">
        <f t="shared" si="16"/>
        <v>20350000</v>
      </c>
      <c r="DV12" s="523">
        <f t="shared" si="16"/>
        <v>25150000</v>
      </c>
      <c r="DW12" s="523">
        <f t="shared" si="16"/>
        <v>7656000</v>
      </c>
      <c r="DX12" s="523">
        <f t="shared" si="16"/>
        <v>10000000</v>
      </c>
      <c r="DY12" s="523">
        <f t="shared" si="16"/>
        <v>10000000</v>
      </c>
      <c r="DZ12" s="523">
        <f t="shared" si="16"/>
        <v>682508</v>
      </c>
      <c r="EA12" s="523">
        <f t="shared" si="16"/>
        <v>0</v>
      </c>
      <c r="EB12" s="523">
        <f t="shared" si="16"/>
        <v>0</v>
      </c>
      <c r="EC12" s="523">
        <f t="shared" si="16"/>
        <v>0</v>
      </c>
      <c r="ED12" s="523">
        <f t="shared" si="16"/>
        <v>0</v>
      </c>
      <c r="EE12" s="523">
        <f t="shared" si="16"/>
        <v>0</v>
      </c>
      <c r="EF12" s="523">
        <f t="shared" si="16"/>
        <v>0</v>
      </c>
      <c r="EG12" s="523">
        <f t="shared" si="16"/>
        <v>0</v>
      </c>
      <c r="EH12" s="523">
        <f>+EH13+EH14+EH15</f>
        <v>0</v>
      </c>
      <c r="EI12" s="523">
        <f t="shared" si="16"/>
        <v>0</v>
      </c>
      <c r="EJ12" s="551">
        <f t="shared" si="0"/>
        <v>1253670341</v>
      </c>
      <c r="EK12" s="551">
        <f t="shared" si="1"/>
        <v>167605368</v>
      </c>
      <c r="EL12" s="551">
        <f t="shared" si="2"/>
        <v>0</v>
      </c>
      <c r="EM12" s="551">
        <f>+EJ12+EK12+EL12</f>
        <v>1421275709</v>
      </c>
      <c r="EN12" s="551">
        <f t="shared" si="4"/>
        <v>0</v>
      </c>
      <c r="EO12" s="500">
        <f t="shared" si="5"/>
        <v>1421275709</v>
      </c>
      <c r="EP12" s="500">
        <f t="shared" si="6"/>
        <v>0</v>
      </c>
      <c r="ER12" s="501"/>
    </row>
    <row r="13" spans="1:148" ht="21.75" customHeight="1">
      <c r="A13" s="496" t="s">
        <v>251</v>
      </c>
      <c r="B13" s="506" t="s">
        <v>750</v>
      </c>
      <c r="C13" s="498"/>
      <c r="D13" s="523"/>
      <c r="E13" s="523"/>
      <c r="F13" s="523"/>
      <c r="G13" s="523"/>
      <c r="H13" s="523"/>
      <c r="I13" s="523"/>
      <c r="J13" s="523"/>
      <c r="K13" s="551"/>
      <c r="L13" s="551"/>
      <c r="M13" s="576"/>
      <c r="N13" s="551"/>
      <c r="O13" s="551"/>
      <c r="P13" s="551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51"/>
      <c r="AM13" s="551"/>
      <c r="AN13" s="523"/>
      <c r="AO13" s="523"/>
      <c r="AP13" s="523"/>
      <c r="AQ13" s="575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51"/>
      <c r="BC13" s="551"/>
      <c r="BD13" s="523"/>
      <c r="BE13" s="523"/>
      <c r="BF13" s="523"/>
      <c r="BG13" s="523"/>
      <c r="BH13" s="523"/>
      <c r="BI13" s="523"/>
      <c r="BJ13" s="523"/>
      <c r="BK13" s="523"/>
      <c r="BL13" s="523"/>
      <c r="BM13" s="523"/>
      <c r="BN13" s="523"/>
      <c r="BO13" s="523"/>
      <c r="BP13" s="523"/>
      <c r="BQ13" s="523"/>
      <c r="BR13" s="523"/>
      <c r="BS13" s="523"/>
      <c r="BT13" s="523"/>
      <c r="BU13" s="523"/>
      <c r="BV13" s="523"/>
      <c r="BW13" s="523"/>
      <c r="BX13" s="523"/>
      <c r="BY13" s="523"/>
      <c r="BZ13" s="523"/>
      <c r="CA13" s="523"/>
      <c r="CB13" s="523"/>
      <c r="CC13" s="523"/>
      <c r="CD13" s="523"/>
      <c r="CE13" s="523"/>
      <c r="CF13" s="523"/>
      <c r="CG13" s="523"/>
      <c r="CH13" s="523"/>
      <c r="CI13" s="551"/>
      <c r="CJ13" s="523"/>
      <c r="CK13" s="523"/>
      <c r="CL13" s="523"/>
      <c r="CM13" s="523"/>
      <c r="CN13" s="523"/>
      <c r="CO13" s="523"/>
      <c r="CP13" s="523"/>
      <c r="CQ13" s="551"/>
      <c r="CR13" s="551"/>
      <c r="CS13" s="551"/>
      <c r="CT13" s="551"/>
      <c r="CU13" s="551"/>
      <c r="CV13" s="523"/>
      <c r="CW13" s="523"/>
      <c r="CX13" s="523"/>
      <c r="CY13" s="523"/>
      <c r="CZ13" s="523"/>
      <c r="DA13" s="523"/>
      <c r="DB13" s="523"/>
      <c r="DC13" s="593"/>
      <c r="DD13" s="523"/>
      <c r="DE13" s="523"/>
      <c r="DF13" s="523"/>
      <c r="DG13" s="523"/>
      <c r="DH13" s="523"/>
      <c r="DI13" s="523"/>
      <c r="DJ13" s="523">
        <f>+'5.sz.Műk.c.pe.átadás'!F30</f>
        <v>13085448</v>
      </c>
      <c r="DK13" s="523">
        <f>+'5.sz.Műk.c.pe.átadás'!F33</f>
        <v>75789412</v>
      </c>
      <c r="DL13" s="523">
        <f>'5.sz.Műk.c.pe.átadás'!F8+'5.sz.Műk.c.pe.átadás'!F9+'5.sz.Műk.c.pe.átadás'!F11+'5.sz.Műk.c.pe.átadás'!F12+'5.sz.Műk.c.pe.átadás'!F13+'5.sz.Műk.c.pe.átadás'!F14</f>
        <v>3078000</v>
      </c>
      <c r="DM13" s="523"/>
      <c r="DN13" s="523"/>
      <c r="DO13" s="523">
        <f>'5.sz.Műk.c.pe.átadás'!F24</f>
        <v>1000000</v>
      </c>
      <c r="DP13" s="523"/>
      <c r="DQ13" s="523">
        <f>+'5.sz.Műk.c.pe.átadás'!F16</f>
        <v>4400000</v>
      </c>
      <c r="DR13" s="523">
        <f>+'5.sz.Műk.c.pe.átadás'!E18</f>
        <v>70000</v>
      </c>
      <c r="DS13" s="523">
        <f>+'5.sz.Műk.c.pe.átadás'!F20</f>
        <v>72000000</v>
      </c>
      <c r="DT13" s="523">
        <f>+'5.sz.Műk.c.pe.átadás'!E22</f>
        <v>4000000</v>
      </c>
      <c r="DU13" s="523">
        <f>+'5.sz.Műk.c.pe.átadás'!E58</f>
        <v>20350000</v>
      </c>
      <c r="DV13" s="523">
        <f>+'5.sz.Műk.c.pe.átadás'!F7</f>
        <v>25150000</v>
      </c>
      <c r="DW13" s="523">
        <f>'5.sz.Műk.c.pe.átadás'!F10</f>
        <v>7656000</v>
      </c>
      <c r="DX13" s="523">
        <f>+'5.sz.Műk.c.pe.átadás'!F42</f>
        <v>10000000</v>
      </c>
      <c r="DY13" s="523">
        <f>+'5.sz.Műk.c.pe.átadás'!F48</f>
        <v>10000000</v>
      </c>
      <c r="DZ13" s="523">
        <f>+'5.sz.Műk.c.pe.átadás'!F23</f>
        <v>682508</v>
      </c>
      <c r="EA13" s="523"/>
      <c r="EB13" s="551"/>
      <c r="EC13" s="551"/>
      <c r="ED13" s="551"/>
      <c r="EE13" s="551"/>
      <c r="EF13" s="551"/>
      <c r="EG13" s="551"/>
      <c r="EH13" s="551"/>
      <c r="EI13" s="551"/>
      <c r="EJ13" s="551">
        <f t="shared" si="0"/>
        <v>79656000</v>
      </c>
      <c r="EK13" s="551">
        <f t="shared" si="1"/>
        <v>167605368</v>
      </c>
      <c r="EL13" s="551">
        <f t="shared" si="2"/>
        <v>0</v>
      </c>
      <c r="EM13" s="551">
        <f t="shared" si="3"/>
        <v>247261368</v>
      </c>
      <c r="EN13" s="551">
        <f t="shared" si="4"/>
        <v>0</v>
      </c>
      <c r="EO13" s="500">
        <f t="shared" si="5"/>
        <v>247261368</v>
      </c>
      <c r="EP13" s="500">
        <f t="shared" si="6"/>
        <v>0</v>
      </c>
      <c r="ER13" s="501"/>
    </row>
    <row r="14" spans="1:148" s="508" customFormat="1" ht="21.75" customHeight="1">
      <c r="A14" s="496" t="s">
        <v>252</v>
      </c>
      <c r="B14" s="506" t="s">
        <v>751</v>
      </c>
      <c r="C14" s="507"/>
      <c r="D14" s="547"/>
      <c r="E14" s="547"/>
      <c r="F14" s="547"/>
      <c r="G14" s="547"/>
      <c r="H14" s="547"/>
      <c r="I14" s="547"/>
      <c r="J14" s="547"/>
      <c r="K14" s="560"/>
      <c r="L14" s="560"/>
      <c r="M14" s="579"/>
      <c r="N14" s="560"/>
      <c r="O14" s="560"/>
      <c r="P14" s="560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60"/>
      <c r="AM14" s="560"/>
      <c r="AN14" s="547"/>
      <c r="AO14" s="547"/>
      <c r="AP14" s="547"/>
      <c r="AQ14" s="578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60"/>
      <c r="BC14" s="560"/>
      <c r="BD14" s="547"/>
      <c r="BE14" s="547"/>
      <c r="BF14" s="547"/>
      <c r="BG14" s="547"/>
      <c r="BH14" s="547"/>
      <c r="BI14" s="547"/>
      <c r="BJ14" s="547"/>
      <c r="BK14" s="547"/>
      <c r="BL14" s="547"/>
      <c r="BM14" s="547"/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47">
        <f>+'8.sz.Tartalékok'!C58</f>
        <v>818887716</v>
      </c>
      <c r="BY14" s="547"/>
      <c r="BZ14" s="547"/>
      <c r="CA14" s="547"/>
      <c r="CB14" s="547"/>
      <c r="CC14" s="547"/>
      <c r="CD14" s="547"/>
      <c r="CE14" s="547"/>
      <c r="CF14" s="547"/>
      <c r="CG14" s="547"/>
      <c r="CH14" s="547"/>
      <c r="CI14" s="560"/>
      <c r="CJ14" s="547"/>
      <c r="CK14" s="547"/>
      <c r="CL14" s="547"/>
      <c r="CM14" s="547"/>
      <c r="CN14" s="547"/>
      <c r="CO14" s="547"/>
      <c r="CP14" s="547"/>
      <c r="CQ14" s="560"/>
      <c r="CR14" s="560"/>
      <c r="CS14" s="560"/>
      <c r="CT14" s="560"/>
      <c r="CU14" s="560"/>
      <c r="CV14" s="547"/>
      <c r="CW14" s="547"/>
      <c r="CX14" s="547"/>
      <c r="CY14" s="547"/>
      <c r="CZ14" s="547"/>
      <c r="DA14" s="547"/>
      <c r="DB14" s="547"/>
      <c r="DC14" s="670"/>
      <c r="DD14" s="547"/>
      <c r="DE14" s="547"/>
      <c r="DF14" s="547"/>
      <c r="DG14" s="547"/>
      <c r="DH14" s="547"/>
      <c r="DI14" s="547"/>
      <c r="DJ14" s="547"/>
      <c r="DK14" s="547"/>
      <c r="DL14" s="547"/>
      <c r="DM14" s="547"/>
      <c r="DN14" s="547"/>
      <c r="DO14" s="547"/>
      <c r="DP14" s="547"/>
      <c r="DQ14" s="547"/>
      <c r="DR14" s="547"/>
      <c r="DS14" s="547"/>
      <c r="DT14" s="547"/>
      <c r="DU14" s="547"/>
      <c r="DV14" s="547"/>
      <c r="DW14" s="547"/>
      <c r="DX14" s="547"/>
      <c r="DY14" s="547"/>
      <c r="DZ14" s="547"/>
      <c r="EA14" s="547"/>
      <c r="EB14" s="560"/>
      <c r="EC14" s="560"/>
      <c r="ED14" s="560"/>
      <c r="EE14" s="560"/>
      <c r="EF14" s="560"/>
      <c r="EG14" s="560"/>
      <c r="EH14" s="560"/>
      <c r="EI14" s="560"/>
      <c r="EJ14" s="551">
        <f t="shared" si="0"/>
        <v>818887716</v>
      </c>
      <c r="EK14" s="551">
        <f t="shared" si="1"/>
        <v>0</v>
      </c>
      <c r="EL14" s="551">
        <f t="shared" si="2"/>
        <v>0</v>
      </c>
      <c r="EM14" s="551">
        <f t="shared" si="3"/>
        <v>818887716</v>
      </c>
      <c r="EN14" s="551">
        <f t="shared" si="4"/>
        <v>0</v>
      </c>
      <c r="EO14" s="500">
        <f t="shared" si="5"/>
        <v>818887716</v>
      </c>
      <c r="EP14" s="500">
        <f t="shared" si="6"/>
        <v>0</v>
      </c>
      <c r="ER14" s="501"/>
    </row>
    <row r="15" spans="1:148" s="508" customFormat="1" ht="21.75" customHeight="1">
      <c r="A15" s="496" t="s">
        <v>253</v>
      </c>
      <c r="B15" s="506" t="s">
        <v>752</v>
      </c>
      <c r="C15" s="507"/>
      <c r="D15" s="547"/>
      <c r="E15" s="547"/>
      <c r="F15" s="547"/>
      <c r="G15" s="547"/>
      <c r="H15" s="547"/>
      <c r="I15" s="547"/>
      <c r="J15" s="547"/>
      <c r="K15" s="560"/>
      <c r="L15" s="560"/>
      <c r="M15" s="579"/>
      <c r="N15" s="560"/>
      <c r="O15" s="560"/>
      <c r="P15" s="560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60"/>
      <c r="AM15" s="560"/>
      <c r="AN15" s="547"/>
      <c r="AO15" s="547"/>
      <c r="AP15" s="547"/>
      <c r="AQ15" s="578"/>
      <c r="AR15" s="547"/>
      <c r="AS15" s="547"/>
      <c r="AT15" s="547"/>
      <c r="AU15" s="547"/>
      <c r="AV15" s="547"/>
      <c r="AW15" s="547"/>
      <c r="AX15" s="547"/>
      <c r="AY15" s="547"/>
      <c r="AZ15" s="547"/>
      <c r="BA15" s="547"/>
      <c r="BB15" s="560"/>
      <c r="BC15" s="560"/>
      <c r="BD15" s="547"/>
      <c r="BE15" s="547"/>
      <c r="BF15" s="547"/>
      <c r="BG15" s="547"/>
      <c r="BH15" s="547"/>
      <c r="BI15" s="547"/>
      <c r="BJ15" s="547"/>
      <c r="BK15" s="547"/>
      <c r="BL15" s="547"/>
      <c r="BM15" s="547"/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7"/>
      <c r="BZ15" s="547"/>
      <c r="CA15" s="547"/>
      <c r="CB15" s="547"/>
      <c r="CC15" s="547"/>
      <c r="CD15" s="547"/>
      <c r="CE15" s="547"/>
      <c r="CF15" s="547"/>
      <c r="CG15" s="547"/>
      <c r="CH15" s="547"/>
      <c r="CI15" s="548">
        <v>355126625</v>
      </c>
      <c r="CJ15" s="547"/>
      <c r="CK15" s="547"/>
      <c r="CL15" s="547"/>
      <c r="CM15" s="547"/>
      <c r="CN15" s="547"/>
      <c r="CO15" s="547"/>
      <c r="CP15" s="547"/>
      <c r="CQ15" s="560"/>
      <c r="CR15" s="560"/>
      <c r="CS15" s="560"/>
      <c r="CT15" s="560"/>
      <c r="CU15" s="560"/>
      <c r="CV15" s="547"/>
      <c r="CW15" s="547"/>
      <c r="CX15" s="547"/>
      <c r="CY15" s="547"/>
      <c r="CZ15" s="547"/>
      <c r="DA15" s="547"/>
      <c r="DB15" s="547"/>
      <c r="DC15" s="670"/>
      <c r="DD15" s="547"/>
      <c r="DE15" s="547"/>
      <c r="DF15" s="547"/>
      <c r="DG15" s="547"/>
      <c r="DH15" s="547"/>
      <c r="DI15" s="547"/>
      <c r="DJ15" s="547"/>
      <c r="DK15" s="547"/>
      <c r="DL15" s="547"/>
      <c r="DM15" s="547"/>
      <c r="DN15" s="547"/>
      <c r="DO15" s="547"/>
      <c r="DP15" s="547"/>
      <c r="DQ15" s="547"/>
      <c r="DR15" s="547"/>
      <c r="DS15" s="547"/>
      <c r="DT15" s="547"/>
      <c r="DU15" s="547"/>
      <c r="DV15" s="547"/>
      <c r="DW15" s="547"/>
      <c r="DX15" s="547"/>
      <c r="DY15" s="547"/>
      <c r="DZ15" s="547"/>
      <c r="EA15" s="547"/>
      <c r="EB15" s="560"/>
      <c r="EC15" s="560"/>
      <c r="ED15" s="560"/>
      <c r="EE15" s="560"/>
      <c r="EF15" s="560"/>
      <c r="EG15" s="560"/>
      <c r="EH15" s="548"/>
      <c r="EI15" s="548"/>
      <c r="EJ15" s="551">
        <f t="shared" si="0"/>
        <v>355126625</v>
      </c>
      <c r="EK15" s="551">
        <f t="shared" si="1"/>
        <v>0</v>
      </c>
      <c r="EL15" s="551">
        <f t="shared" si="2"/>
        <v>0</v>
      </c>
      <c r="EM15" s="551">
        <f t="shared" si="3"/>
        <v>355126625</v>
      </c>
      <c r="EN15" s="551">
        <f t="shared" si="4"/>
        <v>0</v>
      </c>
      <c r="EO15" s="500">
        <f t="shared" si="5"/>
        <v>355126625</v>
      </c>
      <c r="EP15" s="500"/>
      <c r="ER15" s="501"/>
    </row>
    <row r="16" spans="1:148" s="503" customFormat="1" ht="21.75" customHeight="1">
      <c r="A16" s="496" t="s">
        <v>254</v>
      </c>
      <c r="B16" s="509" t="s">
        <v>299</v>
      </c>
      <c r="C16" s="498" t="s">
        <v>263</v>
      </c>
      <c r="D16" s="523">
        <f>'6.sz. Beruházások'!E13+'6.sz. Beruházások'!E17+'6.sz. Beruházások'!E14+'6.sz. Beruházások'!E16+'6.sz. Beruházások'!E15</f>
        <v>132173104</v>
      </c>
      <c r="E16" s="523">
        <f>'6.sz. Beruházások'!E25+'6.sz. Beruházások'!E22+'6.sz. Beruházások'!E19+'6.sz. Beruházások'!E20+'6.sz. Beruházások'!E21</f>
        <v>36909599.8976378</v>
      </c>
      <c r="F16" s="523">
        <f>'6.sz. Beruházások'!E31</f>
        <v>3322756</v>
      </c>
      <c r="G16" s="523"/>
      <c r="H16" s="523">
        <f>'6.sz. Beruházások'!E36+'6.sz. Beruházások'!E35+'6.sz. Beruházások'!E34+'6.sz. Beruházások'!E33</f>
        <v>372129125</v>
      </c>
      <c r="I16" s="523">
        <f>+'6.sz. Beruházások'!E42</f>
        <v>2000000</v>
      </c>
      <c r="J16" s="523"/>
      <c r="K16" s="548"/>
      <c r="L16" s="548"/>
      <c r="M16" s="577"/>
      <c r="N16" s="548"/>
      <c r="O16" s="548"/>
      <c r="P16" s="548"/>
      <c r="Q16" s="523">
        <v>1000000</v>
      </c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>
        <v>0</v>
      </c>
      <c r="AC16" s="523">
        <v>2000000</v>
      </c>
      <c r="AD16" s="523"/>
      <c r="AE16" s="523"/>
      <c r="AF16" s="523"/>
      <c r="AG16" s="523"/>
      <c r="AH16" s="523"/>
      <c r="AI16" s="523"/>
      <c r="AJ16" s="523"/>
      <c r="AK16" s="523">
        <f>+'6.sz. Beruházások'!E43</f>
        <v>254000</v>
      </c>
      <c r="AL16" s="548"/>
      <c r="AM16" s="548"/>
      <c r="AN16" s="523"/>
      <c r="AO16" s="523"/>
      <c r="AP16" s="523"/>
      <c r="AQ16" s="575"/>
      <c r="AR16" s="593">
        <f>8000000+500000</f>
        <v>8500000</v>
      </c>
      <c r="AS16" s="523"/>
      <c r="AT16" s="523"/>
      <c r="AU16" s="523"/>
      <c r="AV16" s="523">
        <f>+'6.sz. Beruházások'!E44</f>
        <v>254000</v>
      </c>
      <c r="AW16" s="523">
        <f>1270000+'6.sz. Beruházások'!E46</f>
        <v>8657590</v>
      </c>
      <c r="AX16" s="523"/>
      <c r="AY16" s="523"/>
      <c r="AZ16" s="523"/>
      <c r="BA16" s="523"/>
      <c r="BB16" s="523">
        <f>+'6.sz. Beruházások'!E48+'6.sz. Beruházások'!E32</f>
        <v>9106857</v>
      </c>
      <c r="BC16" s="523">
        <f>+'6.sz. Beruházások'!I61</f>
        <v>0</v>
      </c>
      <c r="BD16" s="523"/>
      <c r="BE16" s="523"/>
      <c r="BF16" s="523"/>
      <c r="BG16" s="523">
        <f>'6.sz. Beruházások'!E29+'6.sz. Beruházások'!E28+'6.sz. Beruházások'!E27+'6.sz. Beruházások'!E26</f>
        <v>7511044</v>
      </c>
      <c r="BH16" s="523"/>
      <c r="BI16" s="523"/>
      <c r="BJ16" s="523"/>
      <c r="BK16" s="523"/>
      <c r="BL16" s="523"/>
      <c r="BM16" s="523"/>
      <c r="BN16" s="523"/>
      <c r="BO16" s="523"/>
      <c r="BP16" s="523"/>
      <c r="BQ16" s="523"/>
      <c r="BR16" s="523"/>
      <c r="BS16" s="523">
        <f>+'6.sz. Beruházások'!E56</f>
        <v>2209800</v>
      </c>
      <c r="BT16" s="523">
        <f>+'6.sz. Beruházások'!E57</f>
        <v>3733800</v>
      </c>
      <c r="BU16" s="523"/>
      <c r="BV16" s="523"/>
      <c r="BW16" s="523"/>
      <c r="BX16" s="523"/>
      <c r="BY16" s="523"/>
      <c r="BZ16" s="523"/>
      <c r="CA16" s="523">
        <v>127000</v>
      </c>
      <c r="CB16" s="523"/>
      <c r="CC16" s="523"/>
      <c r="CD16" s="523"/>
      <c r="CE16" s="523">
        <f>+'6.sz. Beruházások'!E58</f>
        <v>4424998</v>
      </c>
      <c r="CF16" s="523">
        <f>+'6.sz. Beruházások'!E59</f>
        <v>2891790</v>
      </c>
      <c r="CG16" s="523"/>
      <c r="CH16" s="523"/>
      <c r="CI16" s="548"/>
      <c r="CJ16" s="523">
        <f>+'6.sz. Beruházások'!E49</f>
        <v>61781665</v>
      </c>
      <c r="CK16" s="523">
        <f>'6.sz. Beruházások'!E50</f>
        <v>19750447</v>
      </c>
      <c r="CL16" s="523">
        <f>'6.sz. Beruházások'!E11</f>
        <v>14999061</v>
      </c>
      <c r="CM16" s="523">
        <f>'6.sz. Beruházások'!E12</f>
        <v>165289665</v>
      </c>
      <c r="CN16" s="523">
        <f>'6.sz. Beruházások'!E55</f>
        <v>7620000</v>
      </c>
      <c r="CO16" s="523">
        <f>'6.sz. Beruházások'!E9</f>
        <v>6840000</v>
      </c>
      <c r="CP16" s="523">
        <f>+'6.sz. Beruházások'!E61</f>
        <v>140365090</v>
      </c>
      <c r="CQ16" s="523">
        <f>'6.sz. Beruházások'!E60</f>
        <v>180957847</v>
      </c>
      <c r="CR16" s="523">
        <f>'6.sz. Beruházások'!E23</f>
        <v>205672397</v>
      </c>
      <c r="CS16" s="523">
        <f>+'6.sz. Beruházások'!E24</f>
        <v>14562931</v>
      </c>
      <c r="CT16" s="523"/>
      <c r="CU16" s="523"/>
      <c r="CV16" s="523">
        <f>+'6.sz. Beruházások'!E8</f>
        <v>49838745</v>
      </c>
      <c r="CW16" s="523"/>
      <c r="CX16" s="523"/>
      <c r="CY16" s="523"/>
      <c r="CZ16" s="523"/>
      <c r="DA16" s="523"/>
      <c r="DB16" s="523"/>
      <c r="DC16" s="593"/>
      <c r="DD16" s="523"/>
      <c r="DE16" s="523"/>
      <c r="DF16" s="523"/>
      <c r="DG16" s="523"/>
      <c r="DH16" s="523"/>
      <c r="DI16" s="523"/>
      <c r="DJ16" s="523"/>
      <c r="DK16" s="523"/>
      <c r="DL16" s="523"/>
      <c r="DM16" s="523"/>
      <c r="DN16" s="523"/>
      <c r="DO16" s="523"/>
      <c r="DP16" s="523"/>
      <c r="DQ16" s="523"/>
      <c r="DR16" s="523"/>
      <c r="DS16" s="523">
        <f>'6.sz. Beruházások'!E54</f>
        <v>8788542</v>
      </c>
      <c r="DT16" s="523"/>
      <c r="DU16" s="523"/>
      <c r="DV16" s="523"/>
      <c r="DW16" s="523"/>
      <c r="DX16" s="523"/>
      <c r="DY16" s="523"/>
      <c r="DZ16" s="523"/>
      <c r="EA16" s="523"/>
      <c r="EB16" s="548"/>
      <c r="EC16" s="548"/>
      <c r="ED16" s="548"/>
      <c r="EE16" s="548"/>
      <c r="EF16" s="548"/>
      <c r="EG16" s="548"/>
      <c r="EH16" s="548"/>
      <c r="EI16" s="548"/>
      <c r="EJ16" s="551">
        <f t="shared" si="0"/>
        <v>1448160406.8976378</v>
      </c>
      <c r="EK16" s="551">
        <f t="shared" si="1"/>
        <v>25511447</v>
      </c>
      <c r="EL16" s="551">
        <f t="shared" si="2"/>
        <v>0</v>
      </c>
      <c r="EM16" s="551">
        <f t="shared" si="3"/>
        <v>1473671853.8976378</v>
      </c>
      <c r="EN16" s="551">
        <f t="shared" si="4"/>
        <v>56678745</v>
      </c>
      <c r="EO16" s="500">
        <f t="shared" si="5"/>
        <v>1473671853.8976378</v>
      </c>
      <c r="EP16" s="500">
        <f t="shared" si="6"/>
        <v>0</v>
      </c>
      <c r="EQ16" s="503">
        <v>1335639616</v>
      </c>
      <c r="ER16" s="501">
        <f t="shared" si="7"/>
        <v>-138032237.89763784</v>
      </c>
    </row>
    <row r="17" spans="1:148" s="503" customFormat="1" ht="21.75" customHeight="1">
      <c r="A17" s="496" t="s">
        <v>255</v>
      </c>
      <c r="B17" s="505" t="s">
        <v>408</v>
      </c>
      <c r="C17" s="498" t="s">
        <v>264</v>
      </c>
      <c r="D17" s="523">
        <f>+'7. sz. Felújítások'!E16+'7. sz. Felújítások'!E14+'7. sz. Felújítások'!E15+'7. sz. Felújítások'!E17</f>
        <v>234100000</v>
      </c>
      <c r="E17" s="523">
        <f>'7. sz. Felújítások'!E20</f>
        <v>16000000</v>
      </c>
      <c r="F17" s="523"/>
      <c r="G17" s="523"/>
      <c r="H17" s="523">
        <f>+'7. sz. Felújítások'!E22</f>
        <v>7996662</v>
      </c>
      <c r="I17" s="523"/>
      <c r="J17" s="523"/>
      <c r="K17" s="548"/>
      <c r="L17" s="548"/>
      <c r="M17" s="577"/>
      <c r="N17" s="548"/>
      <c r="O17" s="548"/>
      <c r="P17" s="548"/>
      <c r="Q17" s="523"/>
      <c r="R17" s="523"/>
      <c r="S17" s="523"/>
      <c r="T17" s="523">
        <f>'7. sz. Felújítások'!E10+'7. sz. Felújítások'!E11</f>
        <v>10000000</v>
      </c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48"/>
      <c r="AM17" s="548"/>
      <c r="AN17" s="523"/>
      <c r="AO17" s="523"/>
      <c r="AP17" s="523"/>
      <c r="AQ17" s="575"/>
      <c r="AR17" s="523"/>
      <c r="AS17" s="523">
        <f>+'7. sz. Felújítások'!E21</f>
        <v>25843668</v>
      </c>
      <c r="AT17" s="523"/>
      <c r="AU17" s="523"/>
      <c r="AV17" s="523"/>
      <c r="AW17" s="523"/>
      <c r="AX17" s="523"/>
      <c r="AY17" s="523"/>
      <c r="AZ17" s="523"/>
      <c r="BA17" s="523"/>
      <c r="BB17" s="548"/>
      <c r="BC17" s="548"/>
      <c r="BD17" s="523"/>
      <c r="BE17" s="523"/>
      <c r="BF17" s="523"/>
      <c r="BG17" s="523"/>
      <c r="BH17" s="523">
        <f>'7. sz. Felújítások'!E23</f>
        <v>3496172</v>
      </c>
      <c r="BI17" s="523">
        <f>+'7. sz. Felújítások'!E24</f>
        <v>82628999</v>
      </c>
      <c r="BJ17" s="523">
        <f>'7. sz. Felújítások'!E25</f>
        <v>42971888</v>
      </c>
      <c r="BK17" s="523">
        <f>'7. sz. Felújítások'!E26</f>
        <v>47371000</v>
      </c>
      <c r="BL17" s="523"/>
      <c r="BM17" s="523"/>
      <c r="BN17" s="523"/>
      <c r="BO17" s="523"/>
      <c r="BP17" s="523"/>
      <c r="BQ17" s="523"/>
      <c r="BR17" s="523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3"/>
      <c r="CD17" s="523"/>
      <c r="CE17" s="523"/>
      <c r="CF17" s="523"/>
      <c r="CG17" s="523"/>
      <c r="CH17" s="523">
        <f>'7. sz. Felújítások'!E27</f>
        <v>7204128</v>
      </c>
      <c r="CI17" s="548"/>
      <c r="CJ17" s="523"/>
      <c r="CK17" s="523"/>
      <c r="CL17" s="523"/>
      <c r="CM17" s="523"/>
      <c r="CN17" s="523"/>
      <c r="CO17" s="523"/>
      <c r="CP17" s="523"/>
      <c r="CQ17" s="548"/>
      <c r="CR17" s="548"/>
      <c r="CS17" s="548"/>
      <c r="CT17" s="548">
        <f>'7. sz. Felújítások'!E12</f>
        <v>128058287</v>
      </c>
      <c r="CU17" s="548">
        <f>'7. sz. Felújítások'!E13</f>
        <v>974050</v>
      </c>
      <c r="CV17" s="523"/>
      <c r="CW17" s="523"/>
      <c r="CX17" s="523"/>
      <c r="CY17" s="523"/>
      <c r="CZ17" s="523"/>
      <c r="DA17" s="523"/>
      <c r="DB17" s="523"/>
      <c r="DC17" s="593"/>
      <c r="DD17" s="523"/>
      <c r="DE17" s="523"/>
      <c r="DF17" s="523"/>
      <c r="DG17" s="523"/>
      <c r="DH17" s="523"/>
      <c r="DI17" s="523"/>
      <c r="DJ17" s="523"/>
      <c r="DK17" s="523"/>
      <c r="DL17" s="523"/>
      <c r="DM17" s="523"/>
      <c r="DN17" s="523"/>
      <c r="DO17" s="523"/>
      <c r="DP17" s="523"/>
      <c r="DQ17" s="523"/>
      <c r="DR17" s="523"/>
      <c r="DS17" s="523"/>
      <c r="DT17" s="523"/>
      <c r="DU17" s="523"/>
      <c r="DV17" s="523"/>
      <c r="DW17" s="523"/>
      <c r="DX17" s="523"/>
      <c r="DY17" s="523"/>
      <c r="DZ17" s="523"/>
      <c r="EA17" s="523"/>
      <c r="EB17" s="548"/>
      <c r="EC17" s="548"/>
      <c r="ED17" s="548"/>
      <c r="EE17" s="548"/>
      <c r="EF17" s="548"/>
      <c r="EG17" s="548"/>
      <c r="EH17" s="548"/>
      <c r="EI17" s="548"/>
      <c r="EJ17" s="551">
        <f t="shared" si="0"/>
        <v>606644854</v>
      </c>
      <c r="EK17" s="551">
        <f t="shared" si="1"/>
        <v>0</v>
      </c>
      <c r="EL17" s="551">
        <f t="shared" si="2"/>
        <v>0</v>
      </c>
      <c r="EM17" s="551">
        <f>+EJ17+EK17+EL17</f>
        <v>606644854</v>
      </c>
      <c r="EN17" s="551">
        <f t="shared" si="4"/>
        <v>0</v>
      </c>
      <c r="EO17" s="500">
        <f t="shared" si="5"/>
        <v>606644854</v>
      </c>
      <c r="EP17" s="500">
        <f t="shared" si="6"/>
        <v>0</v>
      </c>
      <c r="EQ17" s="503">
        <v>475600396</v>
      </c>
      <c r="ER17" s="501">
        <f t="shared" si="7"/>
        <v>-131044458</v>
      </c>
    </row>
    <row r="18" spans="1:148" ht="21.75" customHeight="1">
      <c r="A18" s="496" t="s">
        <v>256</v>
      </c>
      <c r="B18" s="505" t="s">
        <v>293</v>
      </c>
      <c r="C18" s="498" t="s">
        <v>265</v>
      </c>
      <c r="D18" s="523">
        <f>+D19</f>
        <v>0</v>
      </c>
      <c r="E18" s="523">
        <f aca="true" t="shared" si="17" ref="E18:BD18">+E19</f>
        <v>0</v>
      </c>
      <c r="F18" s="523">
        <f t="shared" si="17"/>
        <v>0</v>
      </c>
      <c r="G18" s="523"/>
      <c r="H18" s="523">
        <f t="shared" si="17"/>
        <v>0</v>
      </c>
      <c r="I18" s="523">
        <f t="shared" si="17"/>
        <v>0</v>
      </c>
      <c r="J18" s="523">
        <f aca="true" t="shared" si="18" ref="J18:P18">+J19</f>
        <v>0</v>
      </c>
      <c r="K18" s="523">
        <f t="shared" si="18"/>
        <v>0</v>
      </c>
      <c r="L18" s="523">
        <f t="shared" si="18"/>
        <v>0</v>
      </c>
      <c r="M18" s="523">
        <f t="shared" si="18"/>
        <v>0</v>
      </c>
      <c r="N18" s="523">
        <f t="shared" si="18"/>
        <v>0</v>
      </c>
      <c r="O18" s="523">
        <f t="shared" si="18"/>
        <v>0</v>
      </c>
      <c r="P18" s="523">
        <f t="shared" si="18"/>
        <v>0</v>
      </c>
      <c r="Q18" s="523">
        <f t="shared" si="17"/>
        <v>0</v>
      </c>
      <c r="R18" s="523">
        <f t="shared" si="17"/>
        <v>0</v>
      </c>
      <c r="S18" s="523">
        <f aca="true" t="shared" si="19" ref="S18:X18">+S19</f>
        <v>0</v>
      </c>
      <c r="T18" s="523">
        <f t="shared" si="19"/>
        <v>0</v>
      </c>
      <c r="U18" s="523">
        <f t="shared" si="19"/>
        <v>0</v>
      </c>
      <c r="V18" s="523">
        <f t="shared" si="19"/>
        <v>0</v>
      </c>
      <c r="W18" s="523">
        <f t="shared" si="19"/>
        <v>0</v>
      </c>
      <c r="X18" s="523">
        <f t="shared" si="19"/>
        <v>0</v>
      </c>
      <c r="Y18" s="523">
        <f t="shared" si="17"/>
        <v>0</v>
      </c>
      <c r="Z18" s="523">
        <f t="shared" si="17"/>
        <v>0</v>
      </c>
      <c r="AA18" s="523">
        <f t="shared" si="17"/>
        <v>0</v>
      </c>
      <c r="AB18" s="523">
        <f t="shared" si="17"/>
        <v>0</v>
      </c>
      <c r="AC18" s="523">
        <f t="shared" si="17"/>
        <v>0</v>
      </c>
      <c r="AD18" s="523">
        <f t="shared" si="17"/>
        <v>0</v>
      </c>
      <c r="AE18" s="523">
        <f t="shared" si="17"/>
        <v>0</v>
      </c>
      <c r="AF18" s="523">
        <f t="shared" si="17"/>
        <v>0</v>
      </c>
      <c r="AG18" s="523">
        <f t="shared" si="17"/>
        <v>0</v>
      </c>
      <c r="AH18" s="523">
        <f t="shared" si="17"/>
        <v>0</v>
      </c>
      <c r="AI18" s="523">
        <f t="shared" si="17"/>
        <v>0</v>
      </c>
      <c r="AJ18" s="523">
        <f t="shared" si="17"/>
        <v>0</v>
      </c>
      <c r="AK18" s="523">
        <f t="shared" si="17"/>
        <v>0</v>
      </c>
      <c r="AL18" s="523">
        <f>+AL19</f>
        <v>0</v>
      </c>
      <c r="AM18" s="523">
        <f>+AM19</f>
        <v>0</v>
      </c>
      <c r="AN18" s="523">
        <f t="shared" si="17"/>
        <v>0</v>
      </c>
      <c r="AO18" s="523">
        <f>+AO19</f>
        <v>0</v>
      </c>
      <c r="AP18" s="523">
        <f t="shared" si="17"/>
        <v>0</v>
      </c>
      <c r="AQ18" s="523">
        <f t="shared" si="17"/>
        <v>0</v>
      </c>
      <c r="AR18" s="523">
        <f t="shared" si="17"/>
        <v>0</v>
      </c>
      <c r="AS18" s="523">
        <f>+AS19</f>
        <v>0</v>
      </c>
      <c r="AT18" s="523">
        <f t="shared" si="17"/>
        <v>0</v>
      </c>
      <c r="AU18" s="523">
        <f t="shared" si="17"/>
        <v>0</v>
      </c>
      <c r="AV18" s="523">
        <f t="shared" si="17"/>
        <v>0</v>
      </c>
      <c r="AW18" s="523">
        <f t="shared" si="17"/>
        <v>0</v>
      </c>
      <c r="AX18" s="523">
        <f t="shared" si="17"/>
        <v>0</v>
      </c>
      <c r="AY18" s="523">
        <f t="shared" si="17"/>
        <v>0</v>
      </c>
      <c r="AZ18" s="523">
        <f t="shared" si="17"/>
        <v>0</v>
      </c>
      <c r="BA18" s="523">
        <f t="shared" si="17"/>
        <v>0</v>
      </c>
      <c r="BB18" s="523">
        <f>+BB19</f>
        <v>0</v>
      </c>
      <c r="BC18" s="523">
        <f>+BC19</f>
        <v>0</v>
      </c>
      <c r="BD18" s="523">
        <f t="shared" si="17"/>
        <v>0</v>
      </c>
      <c r="BE18" s="523">
        <f>+BE19</f>
        <v>0</v>
      </c>
      <c r="BF18" s="523">
        <f>+BF19</f>
        <v>0</v>
      </c>
      <c r="BG18" s="523">
        <f>+BG19</f>
        <v>0</v>
      </c>
      <c r="BH18" s="523"/>
      <c r="BI18" s="523">
        <f>+BI19</f>
        <v>0</v>
      </c>
      <c r="BJ18" s="523"/>
      <c r="BK18" s="523">
        <f aca="true" t="shared" si="20" ref="BK18:BR18">+BK19</f>
        <v>0</v>
      </c>
      <c r="BL18" s="523">
        <f t="shared" si="20"/>
        <v>0</v>
      </c>
      <c r="BM18" s="523">
        <f t="shared" si="20"/>
        <v>0</v>
      </c>
      <c r="BN18" s="523">
        <f t="shared" si="20"/>
        <v>0</v>
      </c>
      <c r="BO18" s="523">
        <f t="shared" si="20"/>
        <v>0</v>
      </c>
      <c r="BP18" s="523">
        <f t="shared" si="20"/>
        <v>0</v>
      </c>
      <c r="BQ18" s="523">
        <f t="shared" si="20"/>
        <v>0</v>
      </c>
      <c r="BR18" s="523">
        <f t="shared" si="20"/>
        <v>0</v>
      </c>
      <c r="BS18" s="523"/>
      <c r="BT18" s="523"/>
      <c r="BU18" s="523"/>
      <c r="BV18" s="523"/>
      <c r="BW18" s="523"/>
      <c r="BX18" s="523">
        <f aca="true" t="shared" si="21" ref="BX18:CE18">+BX19</f>
        <v>0</v>
      </c>
      <c r="BY18" s="523">
        <f t="shared" si="21"/>
        <v>0</v>
      </c>
      <c r="BZ18" s="523">
        <f t="shared" si="21"/>
        <v>0</v>
      </c>
      <c r="CA18" s="523">
        <f t="shared" si="21"/>
        <v>0</v>
      </c>
      <c r="CB18" s="523">
        <f t="shared" si="21"/>
        <v>0</v>
      </c>
      <c r="CC18" s="523">
        <f t="shared" si="21"/>
        <v>0</v>
      </c>
      <c r="CD18" s="523">
        <f t="shared" si="21"/>
        <v>0</v>
      </c>
      <c r="CE18" s="523">
        <f t="shared" si="21"/>
        <v>0</v>
      </c>
      <c r="CF18" s="523"/>
      <c r="CG18" s="523">
        <f aca="true" t="shared" si="22" ref="CG18:CQ18">+CG19</f>
        <v>0</v>
      </c>
      <c r="CH18" s="523">
        <f t="shared" si="22"/>
        <v>0</v>
      </c>
      <c r="CI18" s="523">
        <f t="shared" si="22"/>
        <v>0</v>
      </c>
      <c r="CJ18" s="523">
        <f t="shared" si="22"/>
        <v>0</v>
      </c>
      <c r="CK18" s="523">
        <f t="shared" si="22"/>
        <v>0</v>
      </c>
      <c r="CL18" s="523">
        <f t="shared" si="22"/>
        <v>0</v>
      </c>
      <c r="CM18" s="523">
        <f t="shared" si="22"/>
        <v>0</v>
      </c>
      <c r="CN18" s="523">
        <f t="shared" si="22"/>
        <v>0</v>
      </c>
      <c r="CO18" s="523">
        <f t="shared" si="22"/>
        <v>0</v>
      </c>
      <c r="CP18" s="523">
        <f t="shared" si="22"/>
        <v>0</v>
      </c>
      <c r="CQ18" s="523">
        <f t="shared" si="22"/>
        <v>0</v>
      </c>
      <c r="CR18" s="523"/>
      <c r="CS18" s="523"/>
      <c r="CT18" s="523">
        <f>+CT19</f>
        <v>0</v>
      </c>
      <c r="CU18" s="523"/>
      <c r="CV18" s="523">
        <f>+CV19</f>
        <v>0</v>
      </c>
      <c r="CW18" s="523">
        <f aca="true" t="shared" si="23" ref="CW18:EI18">+CW19</f>
        <v>0</v>
      </c>
      <c r="CX18" s="523">
        <f t="shared" si="23"/>
        <v>0</v>
      </c>
      <c r="CY18" s="523">
        <f t="shared" si="23"/>
        <v>0</v>
      </c>
      <c r="CZ18" s="523">
        <f t="shared" si="23"/>
        <v>0</v>
      </c>
      <c r="DA18" s="523">
        <f t="shared" si="23"/>
        <v>0</v>
      </c>
      <c r="DB18" s="523">
        <f t="shared" si="23"/>
        <v>0</v>
      </c>
      <c r="DC18" s="593">
        <f t="shared" si="23"/>
        <v>0</v>
      </c>
      <c r="DD18" s="523">
        <f t="shared" si="23"/>
        <v>0</v>
      </c>
      <c r="DE18" s="523">
        <f t="shared" si="23"/>
        <v>0</v>
      </c>
      <c r="DF18" s="523">
        <f t="shared" si="23"/>
        <v>0</v>
      </c>
      <c r="DG18" s="523">
        <f t="shared" si="23"/>
        <v>4000000</v>
      </c>
      <c r="DH18" s="523">
        <f t="shared" si="23"/>
        <v>1000000</v>
      </c>
      <c r="DI18" s="523">
        <f t="shared" si="23"/>
        <v>10000000</v>
      </c>
      <c r="DJ18" s="523">
        <f t="shared" si="23"/>
        <v>0</v>
      </c>
      <c r="DK18" s="523">
        <f t="shared" si="23"/>
        <v>0</v>
      </c>
      <c r="DL18" s="523">
        <f t="shared" si="23"/>
        <v>0</v>
      </c>
      <c r="DM18" s="523">
        <f t="shared" si="23"/>
        <v>0</v>
      </c>
      <c r="DN18" s="523">
        <f t="shared" si="23"/>
        <v>0</v>
      </c>
      <c r="DO18" s="523">
        <f t="shared" si="23"/>
        <v>0</v>
      </c>
      <c r="DP18" s="523">
        <f t="shared" si="23"/>
        <v>0</v>
      </c>
      <c r="DQ18" s="523">
        <f t="shared" si="23"/>
        <v>0</v>
      </c>
      <c r="DR18" s="523">
        <f t="shared" si="23"/>
        <v>0</v>
      </c>
      <c r="DS18" s="523">
        <f t="shared" si="23"/>
        <v>0</v>
      </c>
      <c r="DT18" s="523">
        <f t="shared" si="23"/>
        <v>0</v>
      </c>
      <c r="DU18" s="523">
        <f t="shared" si="23"/>
        <v>35000000</v>
      </c>
      <c r="DV18" s="523">
        <f t="shared" si="23"/>
        <v>1206500</v>
      </c>
      <c r="DW18" s="523">
        <f t="shared" si="23"/>
        <v>0</v>
      </c>
      <c r="DX18" s="523"/>
      <c r="DY18" s="523"/>
      <c r="DZ18" s="523"/>
      <c r="EA18" s="523">
        <f t="shared" si="23"/>
        <v>0</v>
      </c>
      <c r="EB18" s="523">
        <f t="shared" si="23"/>
        <v>0</v>
      </c>
      <c r="EC18" s="523">
        <f t="shared" si="23"/>
        <v>0</v>
      </c>
      <c r="ED18" s="523">
        <f t="shared" si="23"/>
        <v>0</v>
      </c>
      <c r="EE18" s="523">
        <f t="shared" si="23"/>
        <v>0</v>
      </c>
      <c r="EF18" s="523">
        <f t="shared" si="23"/>
        <v>0</v>
      </c>
      <c r="EG18" s="523">
        <f t="shared" si="23"/>
        <v>0</v>
      </c>
      <c r="EH18" s="523">
        <f t="shared" si="23"/>
        <v>0</v>
      </c>
      <c r="EI18" s="523">
        <f t="shared" si="23"/>
        <v>0</v>
      </c>
      <c r="EJ18" s="551">
        <f t="shared" si="0"/>
        <v>0</v>
      </c>
      <c r="EK18" s="551">
        <f t="shared" si="1"/>
        <v>51206500</v>
      </c>
      <c r="EL18" s="551">
        <f t="shared" si="2"/>
        <v>0</v>
      </c>
      <c r="EM18" s="551">
        <f t="shared" si="3"/>
        <v>51206500</v>
      </c>
      <c r="EN18" s="551">
        <f t="shared" si="4"/>
        <v>0</v>
      </c>
      <c r="EO18" s="500">
        <f t="shared" si="5"/>
        <v>51206500</v>
      </c>
      <c r="EP18" s="500">
        <f t="shared" si="6"/>
        <v>0</v>
      </c>
      <c r="ER18" s="501">
        <f>SUM(ER10:ER17)</f>
        <v>-309076174.89763784</v>
      </c>
    </row>
    <row r="19" spans="1:148" ht="21.75" customHeight="1">
      <c r="A19" s="496" t="s">
        <v>283</v>
      </c>
      <c r="B19" s="506" t="s">
        <v>768</v>
      </c>
      <c r="C19" s="498"/>
      <c r="D19" s="523"/>
      <c r="E19" s="523"/>
      <c r="F19" s="523"/>
      <c r="G19" s="523"/>
      <c r="H19" s="523"/>
      <c r="I19" s="523"/>
      <c r="J19" s="523"/>
      <c r="K19" s="551"/>
      <c r="L19" s="551"/>
      <c r="M19" s="576"/>
      <c r="N19" s="551"/>
      <c r="O19" s="551"/>
      <c r="P19" s="551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51"/>
      <c r="AM19" s="551"/>
      <c r="AN19" s="523"/>
      <c r="AO19" s="523"/>
      <c r="AP19" s="523"/>
      <c r="AQ19" s="575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51"/>
      <c r="BC19" s="551"/>
      <c r="BD19" s="523"/>
      <c r="BE19" s="523"/>
      <c r="BF19" s="523"/>
      <c r="BG19" s="523"/>
      <c r="BH19" s="523"/>
      <c r="BI19" s="523"/>
      <c r="BJ19" s="523"/>
      <c r="BK19" s="523"/>
      <c r="BL19" s="523"/>
      <c r="BM19" s="523"/>
      <c r="BN19" s="523"/>
      <c r="BO19" s="523"/>
      <c r="BP19" s="523"/>
      <c r="BQ19" s="523"/>
      <c r="BR19" s="523"/>
      <c r="BS19" s="523"/>
      <c r="BT19" s="523"/>
      <c r="BU19" s="523"/>
      <c r="BV19" s="523"/>
      <c r="BW19" s="523"/>
      <c r="BX19" s="523"/>
      <c r="BY19" s="523"/>
      <c r="BZ19" s="523"/>
      <c r="CA19" s="523"/>
      <c r="CB19" s="523"/>
      <c r="CC19" s="523"/>
      <c r="CD19" s="523"/>
      <c r="CE19" s="523"/>
      <c r="CF19" s="523"/>
      <c r="CG19" s="523"/>
      <c r="CH19" s="523"/>
      <c r="CI19" s="551"/>
      <c r="CJ19" s="523"/>
      <c r="CK19" s="523"/>
      <c r="CL19" s="523"/>
      <c r="CM19" s="523"/>
      <c r="CN19" s="523"/>
      <c r="CO19" s="523"/>
      <c r="CP19" s="523"/>
      <c r="CQ19" s="551"/>
      <c r="CR19" s="551"/>
      <c r="CS19" s="551"/>
      <c r="CT19" s="551"/>
      <c r="CU19" s="551"/>
      <c r="CV19" s="523"/>
      <c r="CW19" s="523"/>
      <c r="CX19" s="523"/>
      <c r="CY19" s="523"/>
      <c r="CZ19" s="523"/>
      <c r="DA19" s="523"/>
      <c r="DB19" s="523"/>
      <c r="DC19" s="593"/>
      <c r="DD19" s="523"/>
      <c r="DE19" s="523"/>
      <c r="DF19" s="523"/>
      <c r="DG19" s="523">
        <f>+'4.sz.Felhalm.c.pe.átadás'!E5+'4.sz.Felhalm.c.pe.átadás'!E7+'4.sz.Felhalm.c.pe.átadás'!E8</f>
        <v>4000000</v>
      </c>
      <c r="DH19" s="523">
        <f>+'4.sz.Felhalm.c.pe.átadás'!F6</f>
        <v>1000000</v>
      </c>
      <c r="DI19" s="523">
        <f>'4.sz.Felhalm.c.pe.átadás'!H4</f>
        <v>10000000</v>
      </c>
      <c r="DJ19" s="523"/>
      <c r="DK19" s="523"/>
      <c r="DL19" s="523"/>
      <c r="DM19" s="523"/>
      <c r="DN19" s="523"/>
      <c r="DO19" s="523"/>
      <c r="DP19" s="523"/>
      <c r="DQ19" s="523"/>
      <c r="DR19" s="523"/>
      <c r="DS19" s="523"/>
      <c r="DT19" s="523"/>
      <c r="DU19" s="523">
        <f>'4.sz.Felhalm.c.pe.átadás'!G9</f>
        <v>35000000</v>
      </c>
      <c r="DV19" s="523">
        <f>+'4.sz.Felhalm.c.pe.átadás'!I10</f>
        <v>1206500</v>
      </c>
      <c r="DW19" s="523"/>
      <c r="DX19" s="523"/>
      <c r="DY19" s="523"/>
      <c r="DZ19" s="523"/>
      <c r="EA19" s="523"/>
      <c r="EB19" s="551"/>
      <c r="EC19" s="551"/>
      <c r="ED19" s="551"/>
      <c r="EE19" s="551"/>
      <c r="EF19" s="551"/>
      <c r="EG19" s="551"/>
      <c r="EH19" s="551"/>
      <c r="EI19" s="551"/>
      <c r="EJ19" s="551">
        <f t="shared" si="0"/>
        <v>0</v>
      </c>
      <c r="EK19" s="551">
        <f t="shared" si="1"/>
        <v>51206500</v>
      </c>
      <c r="EL19" s="551">
        <f t="shared" si="2"/>
        <v>0</v>
      </c>
      <c r="EM19" s="551">
        <f t="shared" si="3"/>
        <v>51206500</v>
      </c>
      <c r="EN19" s="551">
        <f t="shared" si="4"/>
        <v>0</v>
      </c>
      <c r="EO19" s="500">
        <f t="shared" si="5"/>
        <v>51206500</v>
      </c>
      <c r="EP19" s="500">
        <f t="shared" si="6"/>
        <v>0</v>
      </c>
      <c r="ER19" s="488">
        <f>160237220+12180711</f>
        <v>172417931</v>
      </c>
    </row>
    <row r="20" spans="1:148" s="503" customFormat="1" ht="21.75" customHeight="1">
      <c r="A20" s="496" t="s">
        <v>284</v>
      </c>
      <c r="B20" s="509" t="s">
        <v>294</v>
      </c>
      <c r="C20" s="498" t="s">
        <v>266</v>
      </c>
      <c r="D20" s="548">
        <f>+D18+D17+D16+D12+D11+D10+D9+D8</f>
        <v>366273104</v>
      </c>
      <c r="E20" s="548">
        <f aca="true" t="shared" si="24" ref="E20:BP20">+E18+E17+E16+E12+E11+E10+E9+E8</f>
        <v>52909599.8976378</v>
      </c>
      <c r="F20" s="548">
        <f t="shared" si="24"/>
        <v>3322756</v>
      </c>
      <c r="G20" s="548">
        <f t="shared" si="24"/>
        <v>0</v>
      </c>
      <c r="H20" s="548">
        <f t="shared" si="24"/>
        <v>380125787</v>
      </c>
      <c r="I20" s="548">
        <f t="shared" si="24"/>
        <v>2000000</v>
      </c>
      <c r="J20" s="548">
        <f t="shared" si="24"/>
        <v>1000000</v>
      </c>
      <c r="K20" s="548">
        <f t="shared" si="24"/>
        <v>0</v>
      </c>
      <c r="L20" s="548">
        <f t="shared" si="24"/>
        <v>0</v>
      </c>
      <c r="M20" s="548">
        <f t="shared" si="24"/>
        <v>0</v>
      </c>
      <c r="N20" s="548">
        <f t="shared" si="24"/>
        <v>0</v>
      </c>
      <c r="O20" s="548">
        <f t="shared" si="24"/>
        <v>0</v>
      </c>
      <c r="P20" s="548">
        <f t="shared" si="24"/>
        <v>0</v>
      </c>
      <c r="Q20" s="548">
        <f t="shared" si="24"/>
        <v>68824039</v>
      </c>
      <c r="R20" s="548">
        <f t="shared" si="24"/>
        <v>41555950</v>
      </c>
      <c r="S20" s="548">
        <f t="shared" si="24"/>
        <v>500000</v>
      </c>
      <c r="T20" s="548">
        <f t="shared" si="24"/>
        <v>17114300</v>
      </c>
      <c r="U20" s="548">
        <f t="shared" si="24"/>
        <v>10000000</v>
      </c>
      <c r="V20" s="548">
        <f t="shared" si="24"/>
        <v>0</v>
      </c>
      <c r="W20" s="548">
        <f t="shared" si="24"/>
        <v>10000000</v>
      </c>
      <c r="X20" s="548">
        <f t="shared" si="24"/>
        <v>10000000</v>
      </c>
      <c r="Y20" s="548">
        <f t="shared" si="24"/>
        <v>12000000</v>
      </c>
      <c r="Z20" s="548">
        <f t="shared" si="24"/>
        <v>225337170</v>
      </c>
      <c r="AA20" s="548">
        <f t="shared" si="24"/>
        <v>38064500</v>
      </c>
      <c r="AB20" s="548">
        <f t="shared" si="24"/>
        <v>45000000</v>
      </c>
      <c r="AC20" s="548">
        <f t="shared" si="24"/>
        <v>7000000</v>
      </c>
      <c r="AD20" s="548">
        <f t="shared" si="24"/>
        <v>147000000</v>
      </c>
      <c r="AE20" s="548">
        <f t="shared" si="24"/>
        <v>76848231</v>
      </c>
      <c r="AF20" s="548">
        <f t="shared" si="24"/>
        <v>30282000</v>
      </c>
      <c r="AG20" s="548">
        <f t="shared" si="24"/>
        <v>2900000</v>
      </c>
      <c r="AH20" s="548">
        <f t="shared" si="24"/>
        <v>4200000</v>
      </c>
      <c r="AI20" s="548">
        <f t="shared" si="24"/>
        <v>5000000</v>
      </c>
      <c r="AJ20" s="548">
        <f t="shared" si="24"/>
        <v>13498700</v>
      </c>
      <c r="AK20" s="548">
        <f t="shared" si="24"/>
        <v>32190534</v>
      </c>
      <c r="AL20" s="548">
        <f t="shared" si="24"/>
        <v>0</v>
      </c>
      <c r="AM20" s="548">
        <f t="shared" si="24"/>
        <v>0</v>
      </c>
      <c r="AN20" s="548">
        <f t="shared" si="24"/>
        <v>1575000</v>
      </c>
      <c r="AO20" s="548">
        <f t="shared" si="24"/>
        <v>500000</v>
      </c>
      <c r="AP20" s="548">
        <f t="shared" si="24"/>
        <v>635000</v>
      </c>
      <c r="AQ20" s="548">
        <f t="shared" si="24"/>
        <v>5927976</v>
      </c>
      <c r="AR20" s="548">
        <f t="shared" si="24"/>
        <v>34250578</v>
      </c>
      <c r="AS20" s="548">
        <f t="shared" si="24"/>
        <v>38124668</v>
      </c>
      <c r="AT20" s="548">
        <f t="shared" si="24"/>
        <v>1000000</v>
      </c>
      <c r="AU20" s="548">
        <f t="shared" si="24"/>
        <v>2000000</v>
      </c>
      <c r="AV20" s="548">
        <f t="shared" si="24"/>
        <v>22623054</v>
      </c>
      <c r="AW20" s="548">
        <f t="shared" si="24"/>
        <v>58755954</v>
      </c>
      <c r="AX20" s="548">
        <f t="shared" si="24"/>
        <v>60500000</v>
      </c>
      <c r="AY20" s="548">
        <f t="shared" si="24"/>
        <v>18392050</v>
      </c>
      <c r="AZ20" s="548">
        <f t="shared" si="24"/>
        <v>40700000</v>
      </c>
      <c r="BA20" s="548">
        <f t="shared" si="24"/>
        <v>4000000</v>
      </c>
      <c r="BB20" s="548">
        <f t="shared" si="24"/>
        <v>85753069</v>
      </c>
      <c r="BC20" s="548">
        <f t="shared" si="24"/>
        <v>25000000</v>
      </c>
      <c r="BD20" s="548">
        <f t="shared" si="24"/>
        <v>21000000</v>
      </c>
      <c r="BE20" s="548">
        <f t="shared" si="24"/>
        <v>2250000</v>
      </c>
      <c r="BF20" s="548">
        <f t="shared" si="24"/>
        <v>6000000</v>
      </c>
      <c r="BG20" s="548">
        <f t="shared" si="24"/>
        <v>7511044</v>
      </c>
      <c r="BH20" s="548">
        <f t="shared" si="24"/>
        <v>3496172</v>
      </c>
      <c r="BI20" s="548">
        <f t="shared" si="24"/>
        <v>82628999</v>
      </c>
      <c r="BJ20" s="548">
        <f t="shared" si="24"/>
        <v>42971888</v>
      </c>
      <c r="BK20" s="548">
        <f t="shared" si="24"/>
        <v>47371000</v>
      </c>
      <c r="BL20" s="548">
        <f t="shared" si="24"/>
        <v>2400000</v>
      </c>
      <c r="BM20" s="548">
        <f t="shared" si="24"/>
        <v>10684432</v>
      </c>
      <c r="BN20" s="548">
        <f t="shared" si="24"/>
        <v>4545000</v>
      </c>
      <c r="BO20" s="548">
        <f t="shared" si="24"/>
        <v>500000</v>
      </c>
      <c r="BP20" s="548">
        <f t="shared" si="24"/>
        <v>4891000</v>
      </c>
      <c r="BQ20" s="548">
        <f aca="true" t="shared" si="25" ref="BQ20:EE20">+BQ18+BQ17+BQ16+BQ12+BQ11+BQ10+BQ9+BQ8</f>
        <v>2828400</v>
      </c>
      <c r="BR20" s="548">
        <f t="shared" si="25"/>
        <v>5000000</v>
      </c>
      <c r="BS20" s="548">
        <f t="shared" si="25"/>
        <v>2209800</v>
      </c>
      <c r="BT20" s="548">
        <f t="shared" si="25"/>
        <v>3733800</v>
      </c>
      <c r="BU20" s="548">
        <f t="shared" si="25"/>
        <v>0</v>
      </c>
      <c r="BV20" s="548">
        <f t="shared" si="25"/>
        <v>0</v>
      </c>
      <c r="BW20" s="548">
        <f t="shared" si="25"/>
        <v>0</v>
      </c>
      <c r="BX20" s="548">
        <f t="shared" si="25"/>
        <v>818887716</v>
      </c>
      <c r="BY20" s="548">
        <f t="shared" si="25"/>
        <v>0</v>
      </c>
      <c r="BZ20" s="548">
        <f t="shared" si="25"/>
        <v>1030296</v>
      </c>
      <c r="CA20" s="548">
        <f t="shared" si="25"/>
        <v>17115500</v>
      </c>
      <c r="CB20" s="548">
        <f t="shared" si="25"/>
        <v>13851289</v>
      </c>
      <c r="CC20" s="548">
        <f t="shared" si="25"/>
        <v>4405000</v>
      </c>
      <c r="CD20" s="548">
        <f t="shared" si="25"/>
        <v>14568100</v>
      </c>
      <c r="CE20" s="548">
        <f t="shared" si="25"/>
        <v>4424998</v>
      </c>
      <c r="CF20" s="548">
        <f t="shared" si="25"/>
        <v>2891790</v>
      </c>
      <c r="CG20" s="548">
        <f t="shared" si="25"/>
        <v>0</v>
      </c>
      <c r="CH20" s="548">
        <f t="shared" si="25"/>
        <v>7204128</v>
      </c>
      <c r="CI20" s="548">
        <f t="shared" si="25"/>
        <v>355126625</v>
      </c>
      <c r="CJ20" s="548">
        <f t="shared" si="25"/>
        <v>61781665</v>
      </c>
      <c r="CK20" s="548">
        <f t="shared" si="25"/>
        <v>19750447</v>
      </c>
      <c r="CL20" s="548">
        <f t="shared" si="25"/>
        <v>19048807</v>
      </c>
      <c r="CM20" s="548">
        <f t="shared" si="25"/>
        <v>209536874</v>
      </c>
      <c r="CN20" s="548">
        <f t="shared" si="25"/>
        <v>8382000</v>
      </c>
      <c r="CO20" s="548">
        <f t="shared" si="25"/>
        <v>6840000</v>
      </c>
      <c r="CP20" s="548">
        <f t="shared" si="25"/>
        <v>184280832</v>
      </c>
      <c r="CQ20" s="548">
        <f t="shared" si="25"/>
        <v>222727054</v>
      </c>
      <c r="CR20" s="548">
        <f t="shared" si="25"/>
        <v>261212362</v>
      </c>
      <c r="CS20" s="548">
        <f t="shared" si="25"/>
        <v>18494922</v>
      </c>
      <c r="CT20" s="548">
        <f t="shared" si="25"/>
        <v>156332080</v>
      </c>
      <c r="CU20" s="548">
        <f t="shared" si="25"/>
        <v>974050</v>
      </c>
      <c r="CV20" s="548">
        <f t="shared" si="25"/>
        <v>62019456</v>
      </c>
      <c r="CW20" s="548">
        <f t="shared" si="25"/>
        <v>0</v>
      </c>
      <c r="CX20" s="548">
        <f t="shared" si="25"/>
        <v>27500000</v>
      </c>
      <c r="CY20" s="548">
        <f t="shared" si="25"/>
        <v>1000000</v>
      </c>
      <c r="CZ20" s="548">
        <f t="shared" si="25"/>
        <v>2300000</v>
      </c>
      <c r="DA20" s="548">
        <f t="shared" si="25"/>
        <v>2508938</v>
      </c>
      <c r="DB20" s="548">
        <f t="shared" si="25"/>
        <v>3000000</v>
      </c>
      <c r="DC20" s="548">
        <f t="shared" si="25"/>
        <v>1656000</v>
      </c>
      <c r="DD20" s="548">
        <f t="shared" si="25"/>
        <v>500000</v>
      </c>
      <c r="DE20" s="548">
        <f t="shared" si="25"/>
        <v>500000</v>
      </c>
      <c r="DF20" s="548">
        <f t="shared" si="25"/>
        <v>4500000</v>
      </c>
      <c r="DG20" s="548">
        <f t="shared" si="25"/>
        <v>4000000</v>
      </c>
      <c r="DH20" s="548">
        <f t="shared" si="25"/>
        <v>1000000</v>
      </c>
      <c r="DI20" s="548">
        <f t="shared" si="25"/>
        <v>10000000</v>
      </c>
      <c r="DJ20" s="548">
        <f t="shared" si="25"/>
        <v>13085448</v>
      </c>
      <c r="DK20" s="548">
        <f t="shared" si="25"/>
        <v>75789412</v>
      </c>
      <c r="DL20" s="548">
        <f t="shared" si="25"/>
        <v>3078000</v>
      </c>
      <c r="DM20" s="548">
        <f t="shared" si="25"/>
        <v>0</v>
      </c>
      <c r="DN20" s="548">
        <f t="shared" si="25"/>
        <v>0</v>
      </c>
      <c r="DO20" s="548">
        <f t="shared" si="25"/>
        <v>1000000</v>
      </c>
      <c r="DP20" s="548">
        <f t="shared" si="25"/>
        <v>0</v>
      </c>
      <c r="DQ20" s="548">
        <f t="shared" si="25"/>
        <v>4400000</v>
      </c>
      <c r="DR20" s="548">
        <f t="shared" si="25"/>
        <v>70000</v>
      </c>
      <c r="DS20" s="548">
        <f t="shared" si="25"/>
        <v>80788542</v>
      </c>
      <c r="DT20" s="548">
        <f t="shared" si="25"/>
        <v>4000000</v>
      </c>
      <c r="DU20" s="548">
        <f t="shared" si="25"/>
        <v>55350000</v>
      </c>
      <c r="DV20" s="548">
        <f t="shared" si="25"/>
        <v>40966580</v>
      </c>
      <c r="DW20" s="548">
        <f t="shared" si="25"/>
        <v>21156000</v>
      </c>
      <c r="DX20" s="548">
        <f>+DX18+DX17+DX16+DX12+DX11+DX10+DX9+DX8</f>
        <v>10000000</v>
      </c>
      <c r="DY20" s="548">
        <f>+DY18+DY17+DY16+DY12+DY11+DY10+DY9+DY8</f>
        <v>10000000</v>
      </c>
      <c r="DZ20" s="548">
        <f>+DZ18+DZ17+DZ16+DZ12+DZ11+DZ10+DZ9+DZ8</f>
        <v>682508</v>
      </c>
      <c r="EA20" s="548">
        <f t="shared" si="25"/>
        <v>40000000</v>
      </c>
      <c r="EB20" s="548">
        <f t="shared" si="25"/>
        <v>0</v>
      </c>
      <c r="EC20" s="548">
        <f t="shared" si="25"/>
        <v>0</v>
      </c>
      <c r="ED20" s="548">
        <f t="shared" si="25"/>
        <v>0</v>
      </c>
      <c r="EE20" s="548">
        <f t="shared" si="25"/>
        <v>0</v>
      </c>
      <c r="EF20" s="548">
        <f>+EF18+EF17+EF16+EF12+EF11+EF10+EF9+EF8</f>
        <v>0</v>
      </c>
      <c r="EG20" s="548">
        <f>+EG18+EG17+EG16+EG12+EG11+EG10+EG9+EG8</f>
        <v>0</v>
      </c>
      <c r="EH20" s="548">
        <f>+EH18+EH17+EH16+EH12+EH11+EH10+EH9+EH8</f>
        <v>0</v>
      </c>
      <c r="EI20" s="548">
        <f>+EI18+EI17+EI16+EI12+EI11+EI10+EI9+EI8</f>
        <v>0</v>
      </c>
      <c r="EJ20" s="548">
        <f t="shared" si="0"/>
        <v>4565682724.897638</v>
      </c>
      <c r="EK20" s="548">
        <f t="shared" si="1"/>
        <v>575740249</v>
      </c>
      <c r="EL20" s="548">
        <f t="shared" si="2"/>
        <v>1000000</v>
      </c>
      <c r="EM20" s="548">
        <f>+EJ20+EK20+EL20</f>
        <v>5142422973.897638</v>
      </c>
      <c r="EN20" s="551">
        <f t="shared" si="4"/>
        <v>68859456</v>
      </c>
      <c r="EO20" s="500">
        <f t="shared" si="5"/>
        <v>5142422973.897638</v>
      </c>
      <c r="EP20" s="500">
        <f t="shared" si="6"/>
        <v>0</v>
      </c>
      <c r="EQ20" s="503">
        <v>4468838372</v>
      </c>
      <c r="ER20" s="504">
        <f>+ER19+ER18</f>
        <v>-136658243.89763784</v>
      </c>
    </row>
    <row r="21" spans="1:147" s="503" customFormat="1" ht="21.75" customHeight="1">
      <c r="A21" s="496" t="s">
        <v>285</v>
      </c>
      <c r="B21" s="509" t="s">
        <v>279</v>
      </c>
      <c r="C21" s="498" t="s">
        <v>275</v>
      </c>
      <c r="D21" s="549">
        <f aca="true" t="shared" si="26" ref="D21:BO21">+D22+D23+D24+D25+D26</f>
        <v>0</v>
      </c>
      <c r="E21" s="549">
        <f t="shared" si="26"/>
        <v>0</v>
      </c>
      <c r="F21" s="549">
        <f t="shared" si="26"/>
        <v>0</v>
      </c>
      <c r="G21" s="549">
        <f t="shared" si="26"/>
        <v>0</v>
      </c>
      <c r="H21" s="549">
        <f t="shared" si="26"/>
        <v>0</v>
      </c>
      <c r="I21" s="549">
        <f t="shared" si="26"/>
        <v>0</v>
      </c>
      <c r="J21" s="549">
        <f t="shared" si="26"/>
        <v>0</v>
      </c>
      <c r="K21" s="549">
        <f t="shared" si="26"/>
        <v>0</v>
      </c>
      <c r="L21" s="549">
        <f t="shared" si="26"/>
        <v>0</v>
      </c>
      <c r="M21" s="549">
        <f t="shared" si="26"/>
        <v>0</v>
      </c>
      <c r="N21" s="549">
        <f t="shared" si="26"/>
        <v>0</v>
      </c>
      <c r="O21" s="549">
        <f t="shared" si="26"/>
        <v>0</v>
      </c>
      <c r="P21" s="549">
        <f t="shared" si="26"/>
        <v>0</v>
      </c>
      <c r="Q21" s="549">
        <f t="shared" si="26"/>
        <v>0</v>
      </c>
      <c r="R21" s="549">
        <f t="shared" si="26"/>
        <v>0</v>
      </c>
      <c r="S21" s="549">
        <f t="shared" si="26"/>
        <v>0</v>
      </c>
      <c r="T21" s="549">
        <f t="shared" si="26"/>
        <v>0</v>
      </c>
      <c r="U21" s="549">
        <f t="shared" si="26"/>
        <v>0</v>
      </c>
      <c r="V21" s="549">
        <f t="shared" si="26"/>
        <v>0</v>
      </c>
      <c r="W21" s="549">
        <f t="shared" si="26"/>
        <v>0</v>
      </c>
      <c r="X21" s="549">
        <f t="shared" si="26"/>
        <v>0</v>
      </c>
      <c r="Y21" s="549">
        <f t="shared" si="26"/>
        <v>0</v>
      </c>
      <c r="Z21" s="549">
        <f t="shared" si="26"/>
        <v>0</v>
      </c>
      <c r="AA21" s="549">
        <f t="shared" si="26"/>
        <v>0</v>
      </c>
      <c r="AB21" s="549">
        <f t="shared" si="26"/>
        <v>0</v>
      </c>
      <c r="AC21" s="549">
        <f t="shared" si="26"/>
        <v>0</v>
      </c>
      <c r="AD21" s="549">
        <f t="shared" si="26"/>
        <v>0</v>
      </c>
      <c r="AE21" s="549">
        <f t="shared" si="26"/>
        <v>0</v>
      </c>
      <c r="AF21" s="549">
        <f t="shared" si="26"/>
        <v>0</v>
      </c>
      <c r="AG21" s="549">
        <f t="shared" si="26"/>
        <v>0</v>
      </c>
      <c r="AH21" s="549">
        <f t="shared" si="26"/>
        <v>0</v>
      </c>
      <c r="AI21" s="549">
        <f t="shared" si="26"/>
        <v>0</v>
      </c>
      <c r="AJ21" s="549">
        <f t="shared" si="26"/>
        <v>0</v>
      </c>
      <c r="AK21" s="549">
        <f t="shared" si="26"/>
        <v>0</v>
      </c>
      <c r="AL21" s="549">
        <f t="shared" si="26"/>
        <v>0</v>
      </c>
      <c r="AM21" s="549">
        <f t="shared" si="26"/>
        <v>0</v>
      </c>
      <c r="AN21" s="549">
        <f t="shared" si="26"/>
        <v>0</v>
      </c>
      <c r="AO21" s="549">
        <f t="shared" si="26"/>
        <v>0</v>
      </c>
      <c r="AP21" s="549">
        <f t="shared" si="26"/>
        <v>0</v>
      </c>
      <c r="AQ21" s="549">
        <f t="shared" si="26"/>
        <v>0</v>
      </c>
      <c r="AR21" s="549">
        <f t="shared" si="26"/>
        <v>0</v>
      </c>
      <c r="AS21" s="549">
        <f t="shared" si="26"/>
        <v>0</v>
      </c>
      <c r="AT21" s="549">
        <f t="shared" si="26"/>
        <v>0</v>
      </c>
      <c r="AU21" s="549">
        <f t="shared" si="26"/>
        <v>0</v>
      </c>
      <c r="AV21" s="549">
        <f t="shared" si="26"/>
        <v>0</v>
      </c>
      <c r="AW21" s="549">
        <f t="shared" si="26"/>
        <v>0</v>
      </c>
      <c r="AX21" s="549">
        <f t="shared" si="26"/>
        <v>0</v>
      </c>
      <c r="AY21" s="549">
        <f t="shared" si="26"/>
        <v>0</v>
      </c>
      <c r="AZ21" s="549">
        <f t="shared" si="26"/>
        <v>0</v>
      </c>
      <c r="BA21" s="549">
        <f t="shared" si="26"/>
        <v>0</v>
      </c>
      <c r="BB21" s="549">
        <f t="shared" si="26"/>
        <v>0</v>
      </c>
      <c r="BC21" s="549">
        <f t="shared" si="26"/>
        <v>0</v>
      </c>
      <c r="BD21" s="549">
        <f t="shared" si="26"/>
        <v>0</v>
      </c>
      <c r="BE21" s="549">
        <f t="shared" si="26"/>
        <v>0</v>
      </c>
      <c r="BF21" s="549">
        <f t="shared" si="26"/>
        <v>0</v>
      </c>
      <c r="BG21" s="549">
        <f t="shared" si="26"/>
        <v>0</v>
      </c>
      <c r="BH21" s="549">
        <f t="shared" si="26"/>
        <v>0</v>
      </c>
      <c r="BI21" s="549">
        <f t="shared" si="26"/>
        <v>0</v>
      </c>
      <c r="BJ21" s="549">
        <f t="shared" si="26"/>
        <v>0</v>
      </c>
      <c r="BK21" s="549">
        <f t="shared" si="26"/>
        <v>0</v>
      </c>
      <c r="BL21" s="549">
        <f t="shared" si="26"/>
        <v>0</v>
      </c>
      <c r="BM21" s="549">
        <f t="shared" si="26"/>
        <v>0</v>
      </c>
      <c r="BN21" s="549">
        <f t="shared" si="26"/>
        <v>0</v>
      </c>
      <c r="BO21" s="549">
        <f t="shared" si="26"/>
        <v>0</v>
      </c>
      <c r="BP21" s="549">
        <f aca="true" t="shared" si="27" ref="BP21:DZ21">+BP22+BP23+BP24+BP25+BP26</f>
        <v>0</v>
      </c>
      <c r="BQ21" s="549">
        <f t="shared" si="27"/>
        <v>0</v>
      </c>
      <c r="BR21" s="549">
        <f t="shared" si="27"/>
        <v>0</v>
      </c>
      <c r="BS21" s="549">
        <f t="shared" si="27"/>
        <v>0</v>
      </c>
      <c r="BT21" s="549">
        <f t="shared" si="27"/>
        <v>0</v>
      </c>
      <c r="BU21" s="549">
        <f t="shared" si="27"/>
        <v>0</v>
      </c>
      <c r="BV21" s="549">
        <f t="shared" si="27"/>
        <v>0</v>
      </c>
      <c r="BW21" s="549">
        <f t="shared" si="27"/>
        <v>0</v>
      </c>
      <c r="BX21" s="549">
        <f t="shared" si="27"/>
        <v>0</v>
      </c>
      <c r="BY21" s="549">
        <f t="shared" si="27"/>
        <v>2380186856</v>
      </c>
      <c r="BZ21" s="549">
        <f t="shared" si="27"/>
        <v>0</v>
      </c>
      <c r="CA21" s="549">
        <f t="shared" si="27"/>
        <v>0</v>
      </c>
      <c r="CB21" s="549">
        <f t="shared" si="27"/>
        <v>0</v>
      </c>
      <c r="CC21" s="549">
        <f t="shared" si="27"/>
        <v>0</v>
      </c>
      <c r="CD21" s="549">
        <f t="shared" si="27"/>
        <v>0</v>
      </c>
      <c r="CE21" s="549">
        <f t="shared" si="27"/>
        <v>0</v>
      </c>
      <c r="CF21" s="549">
        <f t="shared" si="27"/>
        <v>0</v>
      </c>
      <c r="CG21" s="549">
        <f t="shared" si="27"/>
        <v>0</v>
      </c>
      <c r="CH21" s="549">
        <f t="shared" si="27"/>
        <v>0</v>
      </c>
      <c r="CI21" s="549">
        <f t="shared" si="27"/>
        <v>0</v>
      </c>
      <c r="CJ21" s="549">
        <f t="shared" si="27"/>
        <v>0</v>
      </c>
      <c r="CK21" s="549">
        <f t="shared" si="27"/>
        <v>0</v>
      </c>
      <c r="CL21" s="549">
        <f t="shared" si="27"/>
        <v>0</v>
      </c>
      <c r="CM21" s="549">
        <f t="shared" si="27"/>
        <v>0</v>
      </c>
      <c r="CN21" s="549">
        <f t="shared" si="27"/>
        <v>0</v>
      </c>
      <c r="CO21" s="549">
        <f t="shared" si="27"/>
        <v>0</v>
      </c>
      <c r="CP21" s="549">
        <f t="shared" si="27"/>
        <v>0</v>
      </c>
      <c r="CQ21" s="549">
        <f t="shared" si="27"/>
        <v>0</v>
      </c>
      <c r="CR21" s="549">
        <f t="shared" si="27"/>
        <v>0</v>
      </c>
      <c r="CS21" s="549">
        <f t="shared" si="27"/>
        <v>0</v>
      </c>
      <c r="CT21" s="549">
        <f t="shared" si="27"/>
        <v>0</v>
      </c>
      <c r="CU21" s="549">
        <f t="shared" si="27"/>
        <v>0</v>
      </c>
      <c r="CV21" s="549">
        <f t="shared" si="27"/>
        <v>0</v>
      </c>
      <c r="CW21" s="549">
        <f t="shared" si="27"/>
        <v>0</v>
      </c>
      <c r="CX21" s="549">
        <f t="shared" si="27"/>
        <v>0</v>
      </c>
      <c r="CY21" s="549">
        <f t="shared" si="27"/>
        <v>0</v>
      </c>
      <c r="CZ21" s="549">
        <f t="shared" si="27"/>
        <v>0</v>
      </c>
      <c r="DA21" s="549">
        <f t="shared" si="27"/>
        <v>0</v>
      </c>
      <c r="DB21" s="549">
        <f t="shared" si="27"/>
        <v>0</v>
      </c>
      <c r="DC21" s="549">
        <f t="shared" si="27"/>
        <v>0</v>
      </c>
      <c r="DD21" s="549">
        <f t="shared" si="27"/>
        <v>0</v>
      </c>
      <c r="DE21" s="549">
        <f t="shared" si="27"/>
        <v>0</v>
      </c>
      <c r="DF21" s="549">
        <f t="shared" si="27"/>
        <v>0</v>
      </c>
      <c r="DG21" s="549">
        <f t="shared" si="27"/>
        <v>0</v>
      </c>
      <c r="DH21" s="549">
        <f t="shared" si="27"/>
        <v>0</v>
      </c>
      <c r="DI21" s="549">
        <f t="shared" si="27"/>
        <v>0</v>
      </c>
      <c r="DJ21" s="549">
        <f t="shared" si="27"/>
        <v>0</v>
      </c>
      <c r="DK21" s="549">
        <f t="shared" si="27"/>
        <v>0</v>
      </c>
      <c r="DL21" s="549">
        <f t="shared" si="27"/>
        <v>0</v>
      </c>
      <c r="DM21" s="549">
        <f t="shared" si="27"/>
        <v>0</v>
      </c>
      <c r="DN21" s="549">
        <f t="shared" si="27"/>
        <v>0</v>
      </c>
      <c r="DO21" s="549">
        <f t="shared" si="27"/>
        <v>0</v>
      </c>
      <c r="DP21" s="549">
        <f t="shared" si="27"/>
        <v>0</v>
      </c>
      <c r="DQ21" s="549">
        <f t="shared" si="27"/>
        <v>0</v>
      </c>
      <c r="DR21" s="549">
        <f t="shared" si="27"/>
        <v>0</v>
      </c>
      <c r="DS21" s="549">
        <f t="shared" si="27"/>
        <v>0</v>
      </c>
      <c r="DT21" s="549">
        <f t="shared" si="27"/>
        <v>0</v>
      </c>
      <c r="DU21" s="549">
        <f t="shared" si="27"/>
        <v>0</v>
      </c>
      <c r="DV21" s="549">
        <f t="shared" si="27"/>
        <v>0</v>
      </c>
      <c r="DW21" s="549">
        <f t="shared" si="27"/>
        <v>0</v>
      </c>
      <c r="DX21" s="549">
        <f t="shared" si="27"/>
        <v>0</v>
      </c>
      <c r="DY21" s="549"/>
      <c r="DZ21" s="549">
        <f t="shared" si="27"/>
        <v>0</v>
      </c>
      <c r="EA21" s="549">
        <f aca="true" t="shared" si="28" ref="EA21:EF21">+EA22+EA23+EA24+EA25+EA26</f>
        <v>1534768788</v>
      </c>
      <c r="EB21" s="549">
        <f t="shared" si="28"/>
        <v>0</v>
      </c>
      <c r="EC21" s="549">
        <f t="shared" si="28"/>
        <v>0</v>
      </c>
      <c r="ED21" s="549">
        <f t="shared" si="28"/>
        <v>0</v>
      </c>
      <c r="EE21" s="549">
        <f t="shared" si="28"/>
        <v>0</v>
      </c>
      <c r="EF21" s="549">
        <f t="shared" si="28"/>
        <v>0</v>
      </c>
      <c r="EG21" s="549">
        <f>+EG22+EG23+EG24+EG25</f>
        <v>0</v>
      </c>
      <c r="EH21" s="549">
        <f>+EH22+EH23+EH24+EH25</f>
        <v>0</v>
      </c>
      <c r="EI21" s="549">
        <f>+EI22+EI23+EI24+EI25</f>
        <v>0</v>
      </c>
      <c r="EJ21" s="551">
        <f>SUMIF($D$4:$EI$4,"kötelező",D21:EI21)</f>
        <v>2380186856</v>
      </c>
      <c r="EK21" s="551">
        <f t="shared" si="1"/>
        <v>1534768788</v>
      </c>
      <c r="EL21" s="551">
        <f t="shared" si="2"/>
        <v>0</v>
      </c>
      <c r="EM21" s="551">
        <f>+EJ21+EK21+EL21</f>
        <v>3914955644</v>
      </c>
      <c r="EN21" s="551">
        <f t="shared" si="4"/>
        <v>0</v>
      </c>
      <c r="EO21" s="500">
        <f t="shared" si="5"/>
        <v>3914955644</v>
      </c>
      <c r="EP21" s="500">
        <f t="shared" si="6"/>
        <v>0</v>
      </c>
      <c r="EQ21" s="504">
        <f>+EQ20-EM20</f>
        <v>-673584601.8976383</v>
      </c>
    </row>
    <row r="22" spans="1:146" s="511" customFormat="1" ht="21.75" customHeight="1">
      <c r="A22" s="496" t="s">
        <v>286</v>
      </c>
      <c r="B22" s="510" t="s">
        <v>232</v>
      </c>
      <c r="C22" s="507"/>
      <c r="D22" s="547"/>
      <c r="E22" s="547"/>
      <c r="F22" s="547"/>
      <c r="G22" s="547"/>
      <c r="H22" s="547"/>
      <c r="I22" s="547"/>
      <c r="J22" s="550"/>
      <c r="K22" s="552"/>
      <c r="L22" s="552"/>
      <c r="M22" s="581"/>
      <c r="N22" s="581"/>
      <c r="O22" s="552"/>
      <c r="P22" s="552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2"/>
      <c r="AM22" s="552"/>
      <c r="AN22" s="550"/>
      <c r="AO22" s="550"/>
      <c r="AP22" s="550"/>
      <c r="AQ22" s="580"/>
      <c r="AR22" s="547"/>
      <c r="AS22" s="550"/>
      <c r="AT22" s="550"/>
      <c r="AU22" s="550"/>
      <c r="AV22" s="550"/>
      <c r="AW22" s="550"/>
      <c r="AX22" s="550"/>
      <c r="AY22" s="550"/>
      <c r="AZ22" s="550"/>
      <c r="BA22" s="550"/>
      <c r="BB22" s="552"/>
      <c r="BC22" s="552"/>
      <c r="BD22" s="550"/>
      <c r="BE22" s="550"/>
      <c r="BF22" s="550"/>
      <c r="BG22" s="550"/>
      <c r="BH22" s="550"/>
      <c r="BI22" s="550"/>
      <c r="BJ22" s="550"/>
      <c r="BK22" s="550"/>
      <c r="BL22" s="550"/>
      <c r="BM22" s="550"/>
      <c r="BN22" s="550"/>
      <c r="BO22" s="550"/>
      <c r="BP22" s="550"/>
      <c r="BQ22" s="550"/>
      <c r="BR22" s="550"/>
      <c r="BS22" s="550"/>
      <c r="BT22" s="550"/>
      <c r="BU22" s="550"/>
      <c r="BV22" s="550"/>
      <c r="BW22" s="550"/>
      <c r="BX22" s="550"/>
      <c r="BY22" s="563"/>
      <c r="BZ22" s="550"/>
      <c r="CA22" s="550"/>
      <c r="CB22" s="563"/>
      <c r="CC22" s="550"/>
      <c r="CD22" s="550"/>
      <c r="CE22" s="550"/>
      <c r="CF22" s="550"/>
      <c r="CG22" s="550"/>
      <c r="CH22" s="550"/>
      <c r="CI22" s="552"/>
      <c r="CJ22" s="550"/>
      <c r="CK22" s="550"/>
      <c r="CL22" s="550"/>
      <c r="CM22" s="550"/>
      <c r="CN22" s="550"/>
      <c r="CO22" s="550"/>
      <c r="CP22" s="550"/>
      <c r="CQ22" s="552"/>
      <c r="CR22" s="552"/>
      <c r="CS22" s="552"/>
      <c r="CT22" s="552"/>
      <c r="CU22" s="552"/>
      <c r="CV22" s="550"/>
      <c r="CW22" s="550"/>
      <c r="CX22" s="550"/>
      <c r="CY22" s="550"/>
      <c r="CZ22" s="550"/>
      <c r="DA22" s="550"/>
      <c r="DB22" s="550"/>
      <c r="DC22" s="673"/>
      <c r="DD22" s="550"/>
      <c r="DE22" s="550"/>
      <c r="DF22" s="550"/>
      <c r="DG22" s="547"/>
      <c r="DH22" s="547"/>
      <c r="DI22" s="547"/>
      <c r="DJ22" s="547"/>
      <c r="DK22" s="547"/>
      <c r="DL22" s="547"/>
      <c r="DM22" s="547"/>
      <c r="DN22" s="547"/>
      <c r="DO22" s="547"/>
      <c r="DP22" s="547"/>
      <c r="DQ22" s="550"/>
      <c r="DR22" s="550"/>
      <c r="DS22" s="550"/>
      <c r="DT22" s="550"/>
      <c r="DU22" s="550"/>
      <c r="DV22" s="550"/>
      <c r="DW22" s="550"/>
      <c r="DX22" s="550"/>
      <c r="DY22" s="550"/>
      <c r="DZ22" s="550"/>
      <c r="EA22" s="550">
        <v>3056266</v>
      </c>
      <c r="EB22" s="552"/>
      <c r="EC22" s="552"/>
      <c r="ED22" s="552"/>
      <c r="EE22" s="552"/>
      <c r="EF22" s="552"/>
      <c r="EG22" s="552"/>
      <c r="EH22" s="552"/>
      <c r="EI22" s="552"/>
      <c r="EJ22" s="551">
        <f t="shared" si="0"/>
        <v>0</v>
      </c>
      <c r="EK22" s="551">
        <f t="shared" si="1"/>
        <v>3056266</v>
      </c>
      <c r="EL22" s="551">
        <f t="shared" si="2"/>
        <v>0</v>
      </c>
      <c r="EM22" s="551">
        <f t="shared" si="3"/>
        <v>3056266</v>
      </c>
      <c r="EN22" s="551">
        <f t="shared" si="4"/>
        <v>0</v>
      </c>
      <c r="EO22" s="500">
        <f t="shared" si="5"/>
        <v>3056266</v>
      </c>
      <c r="EP22" s="500">
        <f t="shared" si="6"/>
        <v>0</v>
      </c>
    </row>
    <row r="23" spans="1:146" s="511" customFormat="1" ht="21.75" customHeight="1">
      <c r="A23" s="496" t="s">
        <v>287</v>
      </c>
      <c r="B23" s="510" t="s">
        <v>741</v>
      </c>
      <c r="C23" s="507"/>
      <c r="D23" s="547"/>
      <c r="E23" s="547"/>
      <c r="F23" s="547"/>
      <c r="G23" s="547"/>
      <c r="H23" s="547"/>
      <c r="I23" s="547"/>
      <c r="J23" s="550"/>
      <c r="K23" s="552"/>
      <c r="L23" s="552"/>
      <c r="M23" s="581"/>
      <c r="N23" s="581"/>
      <c r="O23" s="552"/>
      <c r="P23" s="552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2"/>
      <c r="AM23" s="552"/>
      <c r="AN23" s="550"/>
      <c r="AO23" s="550"/>
      <c r="AP23" s="550"/>
      <c r="AQ23" s="580"/>
      <c r="AR23" s="547"/>
      <c r="AS23" s="550"/>
      <c r="AT23" s="550"/>
      <c r="AU23" s="550"/>
      <c r="AV23" s="550"/>
      <c r="AW23" s="550"/>
      <c r="AX23" s="550"/>
      <c r="AY23" s="550"/>
      <c r="AZ23" s="550"/>
      <c r="BA23" s="550"/>
      <c r="BB23" s="552"/>
      <c r="BC23" s="552"/>
      <c r="BD23" s="550"/>
      <c r="BE23" s="550"/>
      <c r="BF23" s="550"/>
      <c r="BG23" s="550"/>
      <c r="BH23" s="550"/>
      <c r="BI23" s="550"/>
      <c r="BJ23" s="550"/>
      <c r="BK23" s="550"/>
      <c r="BL23" s="550"/>
      <c r="BM23" s="550"/>
      <c r="BN23" s="550"/>
      <c r="BO23" s="550"/>
      <c r="BP23" s="550"/>
      <c r="BQ23" s="550"/>
      <c r="BR23" s="550"/>
      <c r="BS23" s="550"/>
      <c r="BT23" s="550"/>
      <c r="BU23" s="550"/>
      <c r="BV23" s="550"/>
      <c r="BW23" s="550"/>
      <c r="BX23" s="550"/>
      <c r="BY23" s="563">
        <f>+'10.sz.Intézményfinanszírozás'!D15</f>
        <v>2316822077</v>
      </c>
      <c r="BZ23" s="550"/>
      <c r="CA23" s="550"/>
      <c r="CB23" s="563"/>
      <c r="CC23" s="550"/>
      <c r="CD23" s="550"/>
      <c r="CE23" s="550"/>
      <c r="CF23" s="550"/>
      <c r="CG23" s="550"/>
      <c r="CH23" s="550"/>
      <c r="CI23" s="552"/>
      <c r="CJ23" s="550"/>
      <c r="CK23" s="550"/>
      <c r="CL23" s="550"/>
      <c r="CM23" s="550"/>
      <c r="CN23" s="550"/>
      <c r="CO23" s="550"/>
      <c r="CP23" s="550"/>
      <c r="CQ23" s="552"/>
      <c r="CR23" s="552"/>
      <c r="CS23" s="552"/>
      <c r="CT23" s="552"/>
      <c r="CU23" s="552"/>
      <c r="CV23" s="550"/>
      <c r="CW23" s="550"/>
      <c r="CX23" s="550"/>
      <c r="CY23" s="550"/>
      <c r="CZ23" s="550"/>
      <c r="DA23" s="550"/>
      <c r="DB23" s="550"/>
      <c r="DC23" s="673"/>
      <c r="DD23" s="550"/>
      <c r="DE23" s="550"/>
      <c r="DF23" s="550"/>
      <c r="DG23" s="547"/>
      <c r="DH23" s="547"/>
      <c r="DI23" s="547"/>
      <c r="DJ23" s="547"/>
      <c r="DK23" s="547"/>
      <c r="DL23" s="547"/>
      <c r="DM23" s="547"/>
      <c r="DN23" s="547"/>
      <c r="DO23" s="547"/>
      <c r="DP23" s="547"/>
      <c r="DQ23" s="550"/>
      <c r="DR23" s="550"/>
      <c r="DS23" s="550"/>
      <c r="DT23" s="550"/>
      <c r="DU23" s="550"/>
      <c r="DV23" s="550"/>
      <c r="DW23" s="550"/>
      <c r="DX23" s="550"/>
      <c r="DY23" s="550"/>
      <c r="DZ23" s="550"/>
      <c r="EA23" s="550"/>
      <c r="EB23" s="552"/>
      <c r="EC23" s="552"/>
      <c r="ED23" s="552"/>
      <c r="EE23" s="552"/>
      <c r="EF23" s="552"/>
      <c r="EG23" s="552"/>
      <c r="EH23" s="552"/>
      <c r="EI23" s="552"/>
      <c r="EJ23" s="551">
        <f t="shared" si="0"/>
        <v>2316822077</v>
      </c>
      <c r="EK23" s="551">
        <f t="shared" si="1"/>
        <v>0</v>
      </c>
      <c r="EL23" s="551">
        <f t="shared" si="2"/>
        <v>0</v>
      </c>
      <c r="EM23" s="551">
        <f t="shared" si="3"/>
        <v>2316822077</v>
      </c>
      <c r="EN23" s="551">
        <f t="shared" si="4"/>
        <v>0</v>
      </c>
      <c r="EO23" s="500">
        <f t="shared" si="5"/>
        <v>2316822077</v>
      </c>
      <c r="EP23" s="500">
        <f t="shared" si="6"/>
        <v>0</v>
      </c>
    </row>
    <row r="24" spans="1:146" s="511" customFormat="1" ht="21.75" customHeight="1">
      <c r="A24" s="496" t="s">
        <v>288</v>
      </c>
      <c r="B24" s="510" t="s">
        <v>742</v>
      </c>
      <c r="C24" s="507"/>
      <c r="D24" s="547"/>
      <c r="E24" s="547"/>
      <c r="F24" s="547"/>
      <c r="G24" s="547"/>
      <c r="H24" s="547"/>
      <c r="I24" s="547"/>
      <c r="J24" s="550"/>
      <c r="K24" s="552"/>
      <c r="L24" s="552"/>
      <c r="M24" s="581"/>
      <c r="N24" s="581"/>
      <c r="O24" s="552"/>
      <c r="P24" s="552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2"/>
      <c r="AM24" s="552"/>
      <c r="AN24" s="550"/>
      <c r="AO24" s="550"/>
      <c r="AP24" s="550"/>
      <c r="AQ24" s="580"/>
      <c r="AR24" s="547"/>
      <c r="AS24" s="550"/>
      <c r="AT24" s="550"/>
      <c r="AU24" s="550"/>
      <c r="AV24" s="550"/>
      <c r="AW24" s="550"/>
      <c r="AX24" s="550"/>
      <c r="AY24" s="550"/>
      <c r="AZ24" s="550"/>
      <c r="BA24" s="550"/>
      <c r="BB24" s="552"/>
      <c r="BC24" s="552"/>
      <c r="BD24" s="550"/>
      <c r="BE24" s="550"/>
      <c r="BF24" s="550"/>
      <c r="BG24" s="550"/>
      <c r="BH24" s="550"/>
      <c r="BI24" s="550"/>
      <c r="BJ24" s="550"/>
      <c r="BK24" s="550"/>
      <c r="BL24" s="550"/>
      <c r="BM24" s="550"/>
      <c r="BN24" s="550"/>
      <c r="BO24" s="550"/>
      <c r="BP24" s="550"/>
      <c r="BQ24" s="550"/>
      <c r="BR24" s="550"/>
      <c r="BS24" s="550"/>
      <c r="BT24" s="550"/>
      <c r="BU24" s="550"/>
      <c r="BV24" s="550"/>
      <c r="BW24" s="550"/>
      <c r="BX24" s="550"/>
      <c r="BY24" s="563">
        <f>+'10.sz.Intézményfinanszírozás'!E15</f>
        <v>63364779</v>
      </c>
      <c r="BZ24" s="550"/>
      <c r="CA24" s="550"/>
      <c r="CB24" s="563"/>
      <c r="CC24" s="550"/>
      <c r="CD24" s="550"/>
      <c r="CE24" s="550"/>
      <c r="CF24" s="550"/>
      <c r="CG24" s="550"/>
      <c r="CH24" s="550"/>
      <c r="CI24" s="552"/>
      <c r="CJ24" s="550"/>
      <c r="CK24" s="550"/>
      <c r="CL24" s="550"/>
      <c r="CM24" s="550"/>
      <c r="CN24" s="550"/>
      <c r="CO24" s="550"/>
      <c r="CP24" s="550"/>
      <c r="CQ24" s="552"/>
      <c r="CR24" s="552"/>
      <c r="CS24" s="552"/>
      <c r="CT24" s="552"/>
      <c r="CU24" s="552"/>
      <c r="CV24" s="550"/>
      <c r="CW24" s="550"/>
      <c r="CX24" s="550"/>
      <c r="CY24" s="550"/>
      <c r="CZ24" s="550"/>
      <c r="DA24" s="550"/>
      <c r="DB24" s="550"/>
      <c r="DC24" s="673"/>
      <c r="DD24" s="550"/>
      <c r="DE24" s="550"/>
      <c r="DF24" s="550"/>
      <c r="DG24" s="547"/>
      <c r="DH24" s="547"/>
      <c r="DI24" s="547"/>
      <c r="DJ24" s="547"/>
      <c r="DK24" s="547"/>
      <c r="DL24" s="547"/>
      <c r="DM24" s="547"/>
      <c r="DN24" s="547"/>
      <c r="DO24" s="547"/>
      <c r="DP24" s="547"/>
      <c r="DQ24" s="550"/>
      <c r="DR24" s="550"/>
      <c r="DS24" s="550"/>
      <c r="DT24" s="550"/>
      <c r="DU24" s="550"/>
      <c r="DV24" s="550"/>
      <c r="DW24" s="550"/>
      <c r="DX24" s="550"/>
      <c r="DY24" s="550"/>
      <c r="DZ24" s="550"/>
      <c r="EA24" s="550"/>
      <c r="EB24" s="552"/>
      <c r="EC24" s="552"/>
      <c r="ED24" s="552"/>
      <c r="EE24" s="552"/>
      <c r="EF24" s="552"/>
      <c r="EG24" s="552"/>
      <c r="EH24" s="552"/>
      <c r="EI24" s="552"/>
      <c r="EJ24" s="551">
        <f t="shared" si="0"/>
        <v>63364779</v>
      </c>
      <c r="EK24" s="551">
        <f t="shared" si="1"/>
        <v>0</v>
      </c>
      <c r="EL24" s="551">
        <f t="shared" si="2"/>
        <v>0</v>
      </c>
      <c r="EM24" s="551">
        <f t="shared" si="3"/>
        <v>63364779</v>
      </c>
      <c r="EN24" s="551">
        <f t="shared" si="4"/>
        <v>0</v>
      </c>
      <c r="EO24" s="500">
        <f t="shared" si="5"/>
        <v>63364779</v>
      </c>
      <c r="EP24" s="500">
        <f t="shared" si="6"/>
        <v>0</v>
      </c>
    </row>
    <row r="25" spans="1:146" s="511" customFormat="1" ht="21.75" customHeight="1">
      <c r="A25" s="496" t="s">
        <v>289</v>
      </c>
      <c r="B25" s="510" t="s">
        <v>160</v>
      </c>
      <c r="C25" s="507"/>
      <c r="D25" s="547"/>
      <c r="E25" s="547"/>
      <c r="F25" s="547"/>
      <c r="G25" s="547"/>
      <c r="H25" s="547"/>
      <c r="I25" s="547"/>
      <c r="J25" s="550"/>
      <c r="K25" s="552"/>
      <c r="L25" s="552"/>
      <c r="M25" s="581"/>
      <c r="N25" s="581"/>
      <c r="O25" s="552"/>
      <c r="P25" s="552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2"/>
      <c r="AM25" s="552"/>
      <c r="AN25" s="550"/>
      <c r="AO25" s="550"/>
      <c r="AP25" s="550"/>
      <c r="AQ25" s="580"/>
      <c r="AR25" s="547"/>
      <c r="AS25" s="550"/>
      <c r="AT25" s="550"/>
      <c r="AU25" s="550"/>
      <c r="AV25" s="550"/>
      <c r="AW25" s="550"/>
      <c r="AX25" s="550"/>
      <c r="AY25" s="550"/>
      <c r="AZ25" s="550"/>
      <c r="BA25" s="550"/>
      <c r="BB25" s="552"/>
      <c r="BC25" s="552"/>
      <c r="BD25" s="550"/>
      <c r="BE25" s="550"/>
      <c r="BF25" s="550"/>
      <c r="BG25" s="550"/>
      <c r="BH25" s="550"/>
      <c r="BI25" s="550"/>
      <c r="BJ25" s="550"/>
      <c r="BK25" s="550"/>
      <c r="BL25" s="550"/>
      <c r="BM25" s="550"/>
      <c r="BN25" s="550"/>
      <c r="BO25" s="550"/>
      <c r="BP25" s="550"/>
      <c r="BQ25" s="550"/>
      <c r="BR25" s="550"/>
      <c r="BS25" s="550"/>
      <c r="BT25" s="550"/>
      <c r="BU25" s="550"/>
      <c r="BV25" s="550"/>
      <c r="BW25" s="550"/>
      <c r="BX25" s="550"/>
      <c r="BY25" s="563"/>
      <c r="BZ25" s="550"/>
      <c r="CA25" s="550"/>
      <c r="CB25" s="563"/>
      <c r="CC25" s="550"/>
      <c r="CD25" s="550"/>
      <c r="CE25" s="550"/>
      <c r="CF25" s="550"/>
      <c r="CG25" s="550"/>
      <c r="CH25" s="550"/>
      <c r="CI25" s="552"/>
      <c r="CJ25" s="550"/>
      <c r="CK25" s="550"/>
      <c r="CL25" s="550"/>
      <c r="CM25" s="550"/>
      <c r="CN25" s="550"/>
      <c r="CO25" s="550"/>
      <c r="CP25" s="550"/>
      <c r="CQ25" s="552"/>
      <c r="CR25" s="552"/>
      <c r="CS25" s="552"/>
      <c r="CT25" s="552"/>
      <c r="CU25" s="552"/>
      <c r="CV25" s="550"/>
      <c r="CW25" s="550"/>
      <c r="CX25" s="550"/>
      <c r="CY25" s="550"/>
      <c r="CZ25" s="550"/>
      <c r="DA25" s="550"/>
      <c r="DB25" s="550"/>
      <c r="DC25" s="673"/>
      <c r="DD25" s="550"/>
      <c r="DE25" s="550"/>
      <c r="DF25" s="550"/>
      <c r="DG25" s="547"/>
      <c r="DH25" s="547"/>
      <c r="DI25" s="547"/>
      <c r="DJ25" s="547"/>
      <c r="DK25" s="547"/>
      <c r="DL25" s="547"/>
      <c r="DM25" s="547"/>
      <c r="DN25" s="547"/>
      <c r="DO25" s="547"/>
      <c r="DP25" s="547"/>
      <c r="DQ25" s="550"/>
      <c r="DR25" s="550"/>
      <c r="DS25" s="550"/>
      <c r="DT25" s="550"/>
      <c r="DU25" s="550"/>
      <c r="DV25" s="550"/>
      <c r="DW25" s="550"/>
      <c r="DX25" s="550"/>
      <c r="DY25" s="550"/>
      <c r="DZ25" s="550"/>
      <c r="EA25" s="550">
        <f>28182624+3529898</f>
        <v>31712522</v>
      </c>
      <c r="EB25" s="552"/>
      <c r="EC25" s="552"/>
      <c r="ED25" s="552"/>
      <c r="EE25" s="552"/>
      <c r="EF25" s="552"/>
      <c r="EG25" s="552"/>
      <c r="EH25" s="552"/>
      <c r="EI25" s="552"/>
      <c r="EJ25" s="551">
        <f t="shared" si="0"/>
        <v>0</v>
      </c>
      <c r="EK25" s="551">
        <f t="shared" si="1"/>
        <v>31712522</v>
      </c>
      <c r="EL25" s="551">
        <f t="shared" si="2"/>
        <v>0</v>
      </c>
      <c r="EM25" s="551">
        <f t="shared" si="3"/>
        <v>31712522</v>
      </c>
      <c r="EN25" s="551">
        <f t="shared" si="4"/>
        <v>0</v>
      </c>
      <c r="EO25" s="500">
        <f t="shared" si="5"/>
        <v>31712522</v>
      </c>
      <c r="EP25" s="500">
        <f t="shared" si="6"/>
        <v>0</v>
      </c>
    </row>
    <row r="26" spans="1:146" s="511" customFormat="1" ht="21.75" customHeight="1">
      <c r="A26" s="496" t="s">
        <v>290</v>
      </c>
      <c r="B26" s="510" t="s">
        <v>1408</v>
      </c>
      <c r="C26" s="507"/>
      <c r="D26" s="547"/>
      <c r="E26" s="547"/>
      <c r="F26" s="547"/>
      <c r="G26" s="547"/>
      <c r="H26" s="547"/>
      <c r="I26" s="547"/>
      <c r="J26" s="550"/>
      <c r="K26" s="552"/>
      <c r="L26" s="552"/>
      <c r="M26" s="581"/>
      <c r="N26" s="581"/>
      <c r="O26" s="552"/>
      <c r="P26" s="552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2"/>
      <c r="AM26" s="552"/>
      <c r="AN26" s="550"/>
      <c r="AO26" s="550"/>
      <c r="AP26" s="550"/>
      <c r="AQ26" s="580"/>
      <c r="AR26" s="547"/>
      <c r="AS26" s="550"/>
      <c r="AT26" s="550"/>
      <c r="AU26" s="550"/>
      <c r="AV26" s="550"/>
      <c r="AW26" s="550"/>
      <c r="AX26" s="550"/>
      <c r="AY26" s="550"/>
      <c r="AZ26" s="550"/>
      <c r="BA26" s="550"/>
      <c r="BB26" s="552"/>
      <c r="BC26" s="552"/>
      <c r="BD26" s="550"/>
      <c r="BE26" s="550"/>
      <c r="BF26" s="550"/>
      <c r="BG26" s="550"/>
      <c r="BH26" s="550"/>
      <c r="BI26" s="550"/>
      <c r="BJ26" s="550"/>
      <c r="BK26" s="550"/>
      <c r="BL26" s="550"/>
      <c r="BM26" s="550"/>
      <c r="BN26" s="550"/>
      <c r="BO26" s="550"/>
      <c r="BP26" s="550"/>
      <c r="BQ26" s="550"/>
      <c r="BR26" s="550"/>
      <c r="BS26" s="550"/>
      <c r="BT26" s="550"/>
      <c r="BU26" s="550"/>
      <c r="BV26" s="550"/>
      <c r="BW26" s="550"/>
      <c r="BX26" s="550"/>
      <c r="BY26" s="563"/>
      <c r="BZ26" s="550"/>
      <c r="CA26" s="550"/>
      <c r="CB26" s="563"/>
      <c r="CC26" s="550"/>
      <c r="CD26" s="550"/>
      <c r="CE26" s="550"/>
      <c r="CF26" s="550"/>
      <c r="CG26" s="550"/>
      <c r="CH26" s="550"/>
      <c r="CI26" s="552"/>
      <c r="CJ26" s="550"/>
      <c r="CK26" s="550"/>
      <c r="CL26" s="550"/>
      <c r="CM26" s="550"/>
      <c r="CN26" s="550"/>
      <c r="CO26" s="550"/>
      <c r="CP26" s="550"/>
      <c r="CQ26" s="552"/>
      <c r="CR26" s="552"/>
      <c r="CS26" s="552"/>
      <c r="CT26" s="552"/>
      <c r="CU26" s="552"/>
      <c r="CV26" s="550"/>
      <c r="CW26" s="550"/>
      <c r="CX26" s="550"/>
      <c r="CY26" s="550"/>
      <c r="CZ26" s="550"/>
      <c r="DA26" s="550"/>
      <c r="DB26" s="550"/>
      <c r="DC26" s="673"/>
      <c r="DD26" s="550"/>
      <c r="DE26" s="550"/>
      <c r="DF26" s="550"/>
      <c r="DG26" s="547"/>
      <c r="DH26" s="547"/>
      <c r="DI26" s="547"/>
      <c r="DJ26" s="547"/>
      <c r="DK26" s="547"/>
      <c r="DL26" s="547"/>
      <c r="DM26" s="547"/>
      <c r="DN26" s="547"/>
      <c r="DO26" s="547"/>
      <c r="DP26" s="547"/>
      <c r="DQ26" s="550"/>
      <c r="DR26" s="550"/>
      <c r="DS26" s="550"/>
      <c r="DT26" s="550"/>
      <c r="DU26" s="550"/>
      <c r="DV26" s="550"/>
      <c r="DW26" s="550"/>
      <c r="DX26" s="550"/>
      <c r="DY26" s="550"/>
      <c r="DZ26" s="550"/>
      <c r="EA26" s="550">
        <v>1500000000</v>
      </c>
      <c r="EB26" s="552"/>
      <c r="EC26" s="552"/>
      <c r="ED26" s="552"/>
      <c r="EE26" s="552"/>
      <c r="EF26" s="552"/>
      <c r="EG26" s="552"/>
      <c r="EH26" s="552"/>
      <c r="EI26" s="552"/>
      <c r="EJ26" s="551">
        <f>SUMIF($D$4:$EI$4,"kötelező",D26:EI26)</f>
        <v>0</v>
      </c>
      <c r="EK26" s="551">
        <f>SUMIF($D$4:$EI$4,"önként vállalt",D26:EI26)</f>
        <v>1500000000</v>
      </c>
      <c r="EL26" s="551">
        <f>SUMIF($D$4:$EI$4,"államigazgatási",D26:EI26)</f>
        <v>0</v>
      </c>
      <c r="EM26" s="551">
        <f>+EJ26+EK26+EL26</f>
        <v>1500000000</v>
      </c>
      <c r="EN26" s="551">
        <f>CV26+CO26</f>
        <v>0</v>
      </c>
      <c r="EO26" s="500"/>
      <c r="EP26" s="500"/>
    </row>
    <row r="27" spans="1:146" s="503" customFormat="1" ht="21.75" customHeight="1">
      <c r="A27" s="496" t="s">
        <v>291</v>
      </c>
      <c r="B27" s="512" t="s">
        <v>33</v>
      </c>
      <c r="C27" s="498"/>
      <c r="D27" s="523">
        <f>+D8+D9+D10+D11+D13+D14+D22+D23+D15+D26</f>
        <v>0</v>
      </c>
      <c r="E27" s="523">
        <f aca="true" t="shared" si="29" ref="E27:BP27">+E8+E9+E10+E11+E13+E14+E22+E23+E15+E26</f>
        <v>0</v>
      </c>
      <c r="F27" s="523">
        <f t="shared" si="29"/>
        <v>0</v>
      </c>
      <c r="G27" s="523">
        <f t="shared" si="29"/>
        <v>0</v>
      </c>
      <c r="H27" s="523">
        <f t="shared" si="29"/>
        <v>0</v>
      </c>
      <c r="I27" s="523">
        <f t="shared" si="29"/>
        <v>0</v>
      </c>
      <c r="J27" s="523">
        <f t="shared" si="29"/>
        <v>1000000</v>
      </c>
      <c r="K27" s="523">
        <f t="shared" si="29"/>
        <v>0</v>
      </c>
      <c r="L27" s="523">
        <f t="shared" si="29"/>
        <v>0</v>
      </c>
      <c r="M27" s="523">
        <f t="shared" si="29"/>
        <v>0</v>
      </c>
      <c r="N27" s="523">
        <f t="shared" si="29"/>
        <v>0</v>
      </c>
      <c r="O27" s="523">
        <f t="shared" si="29"/>
        <v>0</v>
      </c>
      <c r="P27" s="523">
        <f t="shared" si="29"/>
        <v>0</v>
      </c>
      <c r="Q27" s="523">
        <f t="shared" si="29"/>
        <v>67824039</v>
      </c>
      <c r="R27" s="523">
        <f t="shared" si="29"/>
        <v>41555950</v>
      </c>
      <c r="S27" s="523">
        <f t="shared" si="29"/>
        <v>500000</v>
      </c>
      <c r="T27" s="523">
        <f t="shared" si="29"/>
        <v>7114300</v>
      </c>
      <c r="U27" s="523">
        <f t="shared" si="29"/>
        <v>10000000</v>
      </c>
      <c r="V27" s="523">
        <f t="shared" si="29"/>
        <v>0</v>
      </c>
      <c r="W27" s="523">
        <f t="shared" si="29"/>
        <v>10000000</v>
      </c>
      <c r="X27" s="523">
        <f t="shared" si="29"/>
        <v>10000000</v>
      </c>
      <c r="Y27" s="523">
        <f t="shared" si="29"/>
        <v>12000000</v>
      </c>
      <c r="Z27" s="523">
        <f t="shared" si="29"/>
        <v>225337170</v>
      </c>
      <c r="AA27" s="523">
        <f t="shared" si="29"/>
        <v>38064500</v>
      </c>
      <c r="AB27" s="523">
        <f t="shared" si="29"/>
        <v>45000000</v>
      </c>
      <c r="AC27" s="523">
        <f t="shared" si="29"/>
        <v>5000000</v>
      </c>
      <c r="AD27" s="523">
        <f t="shared" si="29"/>
        <v>147000000</v>
      </c>
      <c r="AE27" s="523">
        <f t="shared" si="29"/>
        <v>76848231</v>
      </c>
      <c r="AF27" s="523">
        <f t="shared" si="29"/>
        <v>30282000</v>
      </c>
      <c r="AG27" s="523">
        <f t="shared" si="29"/>
        <v>2900000</v>
      </c>
      <c r="AH27" s="523">
        <f t="shared" si="29"/>
        <v>4200000</v>
      </c>
      <c r="AI27" s="523">
        <f t="shared" si="29"/>
        <v>5000000</v>
      </c>
      <c r="AJ27" s="523">
        <f t="shared" si="29"/>
        <v>13498700</v>
      </c>
      <c r="AK27" s="523">
        <f t="shared" si="29"/>
        <v>31936534</v>
      </c>
      <c r="AL27" s="523">
        <f t="shared" si="29"/>
        <v>0</v>
      </c>
      <c r="AM27" s="523">
        <f t="shared" si="29"/>
        <v>0</v>
      </c>
      <c r="AN27" s="523">
        <f t="shared" si="29"/>
        <v>1575000</v>
      </c>
      <c r="AO27" s="523">
        <f t="shared" si="29"/>
        <v>500000</v>
      </c>
      <c r="AP27" s="523">
        <f t="shared" si="29"/>
        <v>635000</v>
      </c>
      <c r="AQ27" s="523">
        <f t="shared" si="29"/>
        <v>5927976</v>
      </c>
      <c r="AR27" s="523">
        <f t="shared" si="29"/>
        <v>25750578</v>
      </c>
      <c r="AS27" s="523">
        <f t="shared" si="29"/>
        <v>12281000</v>
      </c>
      <c r="AT27" s="523">
        <f t="shared" si="29"/>
        <v>1000000</v>
      </c>
      <c r="AU27" s="523">
        <f t="shared" si="29"/>
        <v>2000000</v>
      </c>
      <c r="AV27" s="523">
        <f t="shared" si="29"/>
        <v>22369054</v>
      </c>
      <c r="AW27" s="523">
        <f t="shared" si="29"/>
        <v>50098364</v>
      </c>
      <c r="AX27" s="523">
        <f t="shared" si="29"/>
        <v>60500000</v>
      </c>
      <c r="AY27" s="523">
        <f t="shared" si="29"/>
        <v>18392050</v>
      </c>
      <c r="AZ27" s="523">
        <f t="shared" si="29"/>
        <v>40700000</v>
      </c>
      <c r="BA27" s="523">
        <f t="shared" si="29"/>
        <v>4000000</v>
      </c>
      <c r="BB27" s="523">
        <f t="shared" si="29"/>
        <v>76646212</v>
      </c>
      <c r="BC27" s="523">
        <f t="shared" si="29"/>
        <v>25000000</v>
      </c>
      <c r="BD27" s="523">
        <f t="shared" si="29"/>
        <v>21000000</v>
      </c>
      <c r="BE27" s="523">
        <f t="shared" si="29"/>
        <v>2250000</v>
      </c>
      <c r="BF27" s="523">
        <f t="shared" si="29"/>
        <v>6000000</v>
      </c>
      <c r="BG27" s="523">
        <f t="shared" si="29"/>
        <v>0</v>
      </c>
      <c r="BH27" s="523">
        <f t="shared" si="29"/>
        <v>0</v>
      </c>
      <c r="BI27" s="523">
        <f t="shared" si="29"/>
        <v>0</v>
      </c>
      <c r="BJ27" s="523">
        <f t="shared" si="29"/>
        <v>0</v>
      </c>
      <c r="BK27" s="523">
        <f t="shared" si="29"/>
        <v>0</v>
      </c>
      <c r="BL27" s="523">
        <f t="shared" si="29"/>
        <v>2400000</v>
      </c>
      <c r="BM27" s="523">
        <f t="shared" si="29"/>
        <v>10684432</v>
      </c>
      <c r="BN27" s="523">
        <f t="shared" si="29"/>
        <v>4545000</v>
      </c>
      <c r="BO27" s="523">
        <f t="shared" si="29"/>
        <v>500000</v>
      </c>
      <c r="BP27" s="523">
        <f t="shared" si="29"/>
        <v>4891000</v>
      </c>
      <c r="BQ27" s="523">
        <f aca="true" t="shared" si="30" ref="BQ27:EC27">+BQ8+BQ9+BQ10+BQ11+BQ13+BQ14+BQ22+BQ23+BQ15+BQ26</f>
        <v>2828400</v>
      </c>
      <c r="BR27" s="523">
        <f t="shared" si="30"/>
        <v>5000000</v>
      </c>
      <c r="BS27" s="523">
        <f t="shared" si="30"/>
        <v>0</v>
      </c>
      <c r="BT27" s="523">
        <f t="shared" si="30"/>
        <v>0</v>
      </c>
      <c r="BU27" s="523">
        <f t="shared" si="30"/>
        <v>0</v>
      </c>
      <c r="BV27" s="523">
        <f t="shared" si="30"/>
        <v>0</v>
      </c>
      <c r="BW27" s="523">
        <f t="shared" si="30"/>
        <v>0</v>
      </c>
      <c r="BX27" s="523">
        <f t="shared" si="30"/>
        <v>818887716</v>
      </c>
      <c r="BY27" s="523">
        <f t="shared" si="30"/>
        <v>2316822077</v>
      </c>
      <c r="BZ27" s="523">
        <f t="shared" si="30"/>
        <v>1030296</v>
      </c>
      <c r="CA27" s="523">
        <f t="shared" si="30"/>
        <v>16988500</v>
      </c>
      <c r="CB27" s="523">
        <f t="shared" si="30"/>
        <v>13851289</v>
      </c>
      <c r="CC27" s="523">
        <f t="shared" si="30"/>
        <v>4405000</v>
      </c>
      <c r="CD27" s="523">
        <f t="shared" si="30"/>
        <v>14568100</v>
      </c>
      <c r="CE27" s="523">
        <f t="shared" si="30"/>
        <v>0</v>
      </c>
      <c r="CF27" s="523">
        <f t="shared" si="30"/>
        <v>0</v>
      </c>
      <c r="CG27" s="523">
        <f t="shared" si="30"/>
        <v>0</v>
      </c>
      <c r="CH27" s="523">
        <f t="shared" si="30"/>
        <v>0</v>
      </c>
      <c r="CI27" s="523">
        <f t="shared" si="30"/>
        <v>355126625</v>
      </c>
      <c r="CJ27" s="523">
        <f t="shared" si="30"/>
        <v>0</v>
      </c>
      <c r="CK27" s="523">
        <f t="shared" si="30"/>
        <v>0</v>
      </c>
      <c r="CL27" s="523">
        <f t="shared" si="30"/>
        <v>4049746</v>
      </c>
      <c r="CM27" s="523">
        <f t="shared" si="30"/>
        <v>44247209</v>
      </c>
      <c r="CN27" s="523">
        <f t="shared" si="30"/>
        <v>762000</v>
      </c>
      <c r="CO27" s="523">
        <f t="shared" si="30"/>
        <v>0</v>
      </c>
      <c r="CP27" s="523">
        <f t="shared" si="30"/>
        <v>43915742</v>
      </c>
      <c r="CQ27" s="523">
        <f t="shared" si="30"/>
        <v>41769207</v>
      </c>
      <c r="CR27" s="523">
        <f t="shared" si="30"/>
        <v>55539965</v>
      </c>
      <c r="CS27" s="523">
        <f t="shared" si="30"/>
        <v>3931991</v>
      </c>
      <c r="CT27" s="523">
        <f t="shared" si="30"/>
        <v>28273793</v>
      </c>
      <c r="CU27" s="523">
        <f t="shared" si="30"/>
        <v>0</v>
      </c>
      <c r="CV27" s="523">
        <f t="shared" si="30"/>
        <v>12180711</v>
      </c>
      <c r="CW27" s="523">
        <f t="shared" si="30"/>
        <v>0</v>
      </c>
      <c r="CX27" s="523">
        <f t="shared" si="30"/>
        <v>27500000</v>
      </c>
      <c r="CY27" s="523">
        <f t="shared" si="30"/>
        <v>1000000</v>
      </c>
      <c r="CZ27" s="523">
        <f t="shared" si="30"/>
        <v>2300000</v>
      </c>
      <c r="DA27" s="523">
        <f t="shared" si="30"/>
        <v>2508938</v>
      </c>
      <c r="DB27" s="523">
        <f t="shared" si="30"/>
        <v>3000000</v>
      </c>
      <c r="DC27" s="523">
        <f t="shared" si="30"/>
        <v>1656000</v>
      </c>
      <c r="DD27" s="523">
        <f t="shared" si="30"/>
        <v>500000</v>
      </c>
      <c r="DE27" s="523">
        <f t="shared" si="30"/>
        <v>500000</v>
      </c>
      <c r="DF27" s="523">
        <f t="shared" si="30"/>
        <v>4500000</v>
      </c>
      <c r="DG27" s="523">
        <f t="shared" si="30"/>
        <v>0</v>
      </c>
      <c r="DH27" s="523">
        <f t="shared" si="30"/>
        <v>0</v>
      </c>
      <c r="DI27" s="523">
        <f t="shared" si="30"/>
        <v>0</v>
      </c>
      <c r="DJ27" s="523">
        <f t="shared" si="30"/>
        <v>13085448</v>
      </c>
      <c r="DK27" s="523">
        <f t="shared" si="30"/>
        <v>75789412</v>
      </c>
      <c r="DL27" s="523">
        <f t="shared" si="30"/>
        <v>3078000</v>
      </c>
      <c r="DM27" s="523">
        <f t="shared" si="30"/>
        <v>0</v>
      </c>
      <c r="DN27" s="523">
        <f t="shared" si="30"/>
        <v>0</v>
      </c>
      <c r="DO27" s="523">
        <f t="shared" si="30"/>
        <v>1000000</v>
      </c>
      <c r="DP27" s="523">
        <f t="shared" si="30"/>
        <v>0</v>
      </c>
      <c r="DQ27" s="523">
        <f t="shared" si="30"/>
        <v>4400000</v>
      </c>
      <c r="DR27" s="523">
        <f t="shared" si="30"/>
        <v>70000</v>
      </c>
      <c r="DS27" s="523">
        <f t="shared" si="30"/>
        <v>72000000</v>
      </c>
      <c r="DT27" s="523">
        <f t="shared" si="30"/>
        <v>4000000</v>
      </c>
      <c r="DU27" s="523">
        <f t="shared" si="30"/>
        <v>20350000</v>
      </c>
      <c r="DV27" s="523">
        <f t="shared" si="30"/>
        <v>39760080</v>
      </c>
      <c r="DW27" s="523">
        <f t="shared" si="30"/>
        <v>21156000</v>
      </c>
      <c r="DX27" s="523">
        <f t="shared" si="30"/>
        <v>10000000</v>
      </c>
      <c r="DY27" s="523">
        <f>+DY8+DY9+DY10+DY11+DY13+DY14+DY22+DY23+DY15+DY26</f>
        <v>10000000</v>
      </c>
      <c r="DZ27" s="523">
        <f t="shared" si="30"/>
        <v>682508</v>
      </c>
      <c r="EA27" s="523">
        <f t="shared" si="30"/>
        <v>1543056266</v>
      </c>
      <c r="EB27" s="523">
        <f t="shared" si="30"/>
        <v>0</v>
      </c>
      <c r="EC27" s="523">
        <f t="shared" si="30"/>
        <v>0</v>
      </c>
      <c r="ED27" s="523">
        <f aca="true" t="shared" si="31" ref="ED27:EI27">+ED8+ED9+ED10+ED11+ED13+ED14+ED22+ED23+ED15+ED26</f>
        <v>0</v>
      </c>
      <c r="EE27" s="523">
        <f t="shared" si="31"/>
        <v>0</v>
      </c>
      <c r="EF27" s="523">
        <f t="shared" si="31"/>
        <v>0</v>
      </c>
      <c r="EG27" s="523">
        <f t="shared" si="31"/>
        <v>0</v>
      </c>
      <c r="EH27" s="523">
        <f t="shared" si="31"/>
        <v>0</v>
      </c>
      <c r="EI27" s="523">
        <f t="shared" si="31"/>
        <v>0</v>
      </c>
      <c r="EJ27" s="548">
        <f t="shared" si="0"/>
        <v>4827699541</v>
      </c>
      <c r="EK27" s="548">
        <f t="shared" si="1"/>
        <v>2002078568</v>
      </c>
      <c r="EL27" s="548">
        <f t="shared" si="2"/>
        <v>1000000</v>
      </c>
      <c r="EM27" s="548">
        <f>+EJ27+EK27+EL27</f>
        <v>6830778109</v>
      </c>
      <c r="EN27" s="551">
        <f t="shared" si="4"/>
        <v>12180711</v>
      </c>
      <c r="EO27" s="500">
        <f t="shared" si="5"/>
        <v>6830778109</v>
      </c>
      <c r="EP27" s="500">
        <f t="shared" si="6"/>
        <v>0</v>
      </c>
    </row>
    <row r="28" spans="1:146" s="503" customFormat="1" ht="21.75" customHeight="1">
      <c r="A28" s="496" t="s">
        <v>322</v>
      </c>
      <c r="B28" s="512" t="s">
        <v>34</v>
      </c>
      <c r="C28" s="498"/>
      <c r="D28" s="549">
        <f>+D16+D17+D18+D24+D25</f>
        <v>366273104</v>
      </c>
      <c r="E28" s="549">
        <f aca="true" t="shared" si="32" ref="E28:BP28">+E16+E17+E18+E24+E25</f>
        <v>52909599.8976378</v>
      </c>
      <c r="F28" s="549">
        <f t="shared" si="32"/>
        <v>3322756</v>
      </c>
      <c r="G28" s="549">
        <f t="shared" si="32"/>
        <v>0</v>
      </c>
      <c r="H28" s="549">
        <f t="shared" si="32"/>
        <v>380125787</v>
      </c>
      <c r="I28" s="549">
        <f t="shared" si="32"/>
        <v>2000000</v>
      </c>
      <c r="J28" s="549">
        <f t="shared" si="32"/>
        <v>0</v>
      </c>
      <c r="K28" s="549">
        <f t="shared" si="32"/>
        <v>0</v>
      </c>
      <c r="L28" s="549">
        <f t="shared" si="32"/>
        <v>0</v>
      </c>
      <c r="M28" s="549">
        <f t="shared" si="32"/>
        <v>0</v>
      </c>
      <c r="N28" s="549">
        <f t="shared" si="32"/>
        <v>0</v>
      </c>
      <c r="O28" s="549">
        <f t="shared" si="32"/>
        <v>0</v>
      </c>
      <c r="P28" s="549">
        <f t="shared" si="32"/>
        <v>0</v>
      </c>
      <c r="Q28" s="549">
        <f t="shared" si="32"/>
        <v>1000000</v>
      </c>
      <c r="R28" s="549">
        <f t="shared" si="32"/>
        <v>0</v>
      </c>
      <c r="S28" s="549">
        <f t="shared" si="32"/>
        <v>0</v>
      </c>
      <c r="T28" s="549">
        <f t="shared" si="32"/>
        <v>10000000</v>
      </c>
      <c r="U28" s="549">
        <f t="shared" si="32"/>
        <v>0</v>
      </c>
      <c r="V28" s="549">
        <f t="shared" si="32"/>
        <v>0</v>
      </c>
      <c r="W28" s="549">
        <f t="shared" si="32"/>
        <v>0</v>
      </c>
      <c r="X28" s="549">
        <f t="shared" si="32"/>
        <v>0</v>
      </c>
      <c r="Y28" s="549">
        <f t="shared" si="32"/>
        <v>0</v>
      </c>
      <c r="Z28" s="549">
        <f t="shared" si="32"/>
        <v>0</v>
      </c>
      <c r="AA28" s="549">
        <f t="shared" si="32"/>
        <v>0</v>
      </c>
      <c r="AB28" s="549">
        <f t="shared" si="32"/>
        <v>0</v>
      </c>
      <c r="AC28" s="549">
        <f t="shared" si="32"/>
        <v>2000000</v>
      </c>
      <c r="AD28" s="549">
        <f t="shared" si="32"/>
        <v>0</v>
      </c>
      <c r="AE28" s="549">
        <f t="shared" si="32"/>
        <v>0</v>
      </c>
      <c r="AF28" s="549">
        <f t="shared" si="32"/>
        <v>0</v>
      </c>
      <c r="AG28" s="549">
        <f t="shared" si="32"/>
        <v>0</v>
      </c>
      <c r="AH28" s="549">
        <f t="shared" si="32"/>
        <v>0</v>
      </c>
      <c r="AI28" s="549">
        <f t="shared" si="32"/>
        <v>0</v>
      </c>
      <c r="AJ28" s="549">
        <f t="shared" si="32"/>
        <v>0</v>
      </c>
      <c r="AK28" s="549">
        <f t="shared" si="32"/>
        <v>254000</v>
      </c>
      <c r="AL28" s="549">
        <f t="shared" si="32"/>
        <v>0</v>
      </c>
      <c r="AM28" s="549">
        <f t="shared" si="32"/>
        <v>0</v>
      </c>
      <c r="AN28" s="549">
        <f t="shared" si="32"/>
        <v>0</v>
      </c>
      <c r="AO28" s="549">
        <f t="shared" si="32"/>
        <v>0</v>
      </c>
      <c r="AP28" s="549">
        <f t="shared" si="32"/>
        <v>0</v>
      </c>
      <c r="AQ28" s="549">
        <f t="shared" si="32"/>
        <v>0</v>
      </c>
      <c r="AR28" s="549">
        <f t="shared" si="32"/>
        <v>8500000</v>
      </c>
      <c r="AS28" s="549">
        <f t="shared" si="32"/>
        <v>25843668</v>
      </c>
      <c r="AT28" s="549">
        <f t="shared" si="32"/>
        <v>0</v>
      </c>
      <c r="AU28" s="549">
        <f t="shared" si="32"/>
        <v>0</v>
      </c>
      <c r="AV28" s="549">
        <f t="shared" si="32"/>
        <v>254000</v>
      </c>
      <c r="AW28" s="549">
        <f t="shared" si="32"/>
        <v>8657590</v>
      </c>
      <c r="AX28" s="549">
        <f t="shared" si="32"/>
        <v>0</v>
      </c>
      <c r="AY28" s="549">
        <f t="shared" si="32"/>
        <v>0</v>
      </c>
      <c r="AZ28" s="549">
        <f t="shared" si="32"/>
        <v>0</v>
      </c>
      <c r="BA28" s="549">
        <f t="shared" si="32"/>
        <v>0</v>
      </c>
      <c r="BB28" s="549">
        <f t="shared" si="32"/>
        <v>9106857</v>
      </c>
      <c r="BC28" s="549">
        <f t="shared" si="32"/>
        <v>0</v>
      </c>
      <c r="BD28" s="549">
        <f t="shared" si="32"/>
        <v>0</v>
      </c>
      <c r="BE28" s="549">
        <f t="shared" si="32"/>
        <v>0</v>
      </c>
      <c r="BF28" s="549">
        <f t="shared" si="32"/>
        <v>0</v>
      </c>
      <c r="BG28" s="549">
        <f t="shared" si="32"/>
        <v>7511044</v>
      </c>
      <c r="BH28" s="549">
        <f t="shared" si="32"/>
        <v>3496172</v>
      </c>
      <c r="BI28" s="549">
        <f t="shared" si="32"/>
        <v>82628999</v>
      </c>
      <c r="BJ28" s="549">
        <f t="shared" si="32"/>
        <v>42971888</v>
      </c>
      <c r="BK28" s="549">
        <f t="shared" si="32"/>
        <v>47371000</v>
      </c>
      <c r="BL28" s="549">
        <f t="shared" si="32"/>
        <v>0</v>
      </c>
      <c r="BM28" s="549">
        <f t="shared" si="32"/>
        <v>0</v>
      </c>
      <c r="BN28" s="549">
        <f t="shared" si="32"/>
        <v>0</v>
      </c>
      <c r="BO28" s="549">
        <f t="shared" si="32"/>
        <v>0</v>
      </c>
      <c r="BP28" s="549">
        <f t="shared" si="32"/>
        <v>0</v>
      </c>
      <c r="BQ28" s="549">
        <f aca="true" t="shared" si="33" ref="BQ28:EE28">+BQ16+BQ17+BQ18+BQ24+BQ25</f>
        <v>0</v>
      </c>
      <c r="BR28" s="549">
        <f t="shared" si="33"/>
        <v>0</v>
      </c>
      <c r="BS28" s="549">
        <f t="shared" si="33"/>
        <v>2209800</v>
      </c>
      <c r="BT28" s="549">
        <f t="shared" si="33"/>
        <v>3733800</v>
      </c>
      <c r="BU28" s="549">
        <f t="shared" si="33"/>
        <v>0</v>
      </c>
      <c r="BV28" s="549">
        <f t="shared" si="33"/>
        <v>0</v>
      </c>
      <c r="BW28" s="549">
        <f t="shared" si="33"/>
        <v>0</v>
      </c>
      <c r="BX28" s="549">
        <f t="shared" si="33"/>
        <v>0</v>
      </c>
      <c r="BY28" s="549">
        <f t="shared" si="33"/>
        <v>63364779</v>
      </c>
      <c r="BZ28" s="549">
        <f t="shared" si="33"/>
        <v>0</v>
      </c>
      <c r="CA28" s="549">
        <f t="shared" si="33"/>
        <v>127000</v>
      </c>
      <c r="CB28" s="549">
        <f t="shared" si="33"/>
        <v>0</v>
      </c>
      <c r="CC28" s="549">
        <f t="shared" si="33"/>
        <v>0</v>
      </c>
      <c r="CD28" s="549">
        <f t="shared" si="33"/>
        <v>0</v>
      </c>
      <c r="CE28" s="549">
        <f t="shared" si="33"/>
        <v>4424998</v>
      </c>
      <c r="CF28" s="549">
        <f t="shared" si="33"/>
        <v>2891790</v>
      </c>
      <c r="CG28" s="549">
        <f t="shared" si="33"/>
        <v>0</v>
      </c>
      <c r="CH28" s="549">
        <f t="shared" si="33"/>
        <v>7204128</v>
      </c>
      <c r="CI28" s="549">
        <f t="shared" si="33"/>
        <v>0</v>
      </c>
      <c r="CJ28" s="549">
        <f t="shared" si="33"/>
        <v>61781665</v>
      </c>
      <c r="CK28" s="549">
        <f t="shared" si="33"/>
        <v>19750447</v>
      </c>
      <c r="CL28" s="549">
        <f t="shared" si="33"/>
        <v>14999061</v>
      </c>
      <c r="CM28" s="549">
        <f t="shared" si="33"/>
        <v>165289665</v>
      </c>
      <c r="CN28" s="549">
        <f t="shared" si="33"/>
        <v>7620000</v>
      </c>
      <c r="CO28" s="549">
        <f t="shared" si="33"/>
        <v>6840000</v>
      </c>
      <c r="CP28" s="549">
        <f t="shared" si="33"/>
        <v>140365090</v>
      </c>
      <c r="CQ28" s="549">
        <f t="shared" si="33"/>
        <v>180957847</v>
      </c>
      <c r="CR28" s="549">
        <f t="shared" si="33"/>
        <v>205672397</v>
      </c>
      <c r="CS28" s="549">
        <f t="shared" si="33"/>
        <v>14562931</v>
      </c>
      <c r="CT28" s="549">
        <f t="shared" si="33"/>
        <v>128058287</v>
      </c>
      <c r="CU28" s="549">
        <f t="shared" si="33"/>
        <v>974050</v>
      </c>
      <c r="CV28" s="549">
        <f t="shared" si="33"/>
        <v>49838745</v>
      </c>
      <c r="CW28" s="549">
        <f t="shared" si="33"/>
        <v>0</v>
      </c>
      <c r="CX28" s="549">
        <f t="shared" si="33"/>
        <v>0</v>
      </c>
      <c r="CY28" s="549">
        <f t="shared" si="33"/>
        <v>0</v>
      </c>
      <c r="CZ28" s="549">
        <f t="shared" si="33"/>
        <v>0</v>
      </c>
      <c r="DA28" s="549">
        <f t="shared" si="33"/>
        <v>0</v>
      </c>
      <c r="DB28" s="549">
        <f t="shared" si="33"/>
        <v>0</v>
      </c>
      <c r="DC28" s="549">
        <f t="shared" si="33"/>
        <v>0</v>
      </c>
      <c r="DD28" s="549">
        <f t="shared" si="33"/>
        <v>0</v>
      </c>
      <c r="DE28" s="549">
        <f t="shared" si="33"/>
        <v>0</v>
      </c>
      <c r="DF28" s="549">
        <f t="shared" si="33"/>
        <v>0</v>
      </c>
      <c r="DG28" s="549">
        <f t="shared" si="33"/>
        <v>4000000</v>
      </c>
      <c r="DH28" s="549">
        <f t="shared" si="33"/>
        <v>1000000</v>
      </c>
      <c r="DI28" s="549">
        <f t="shared" si="33"/>
        <v>10000000</v>
      </c>
      <c r="DJ28" s="549">
        <f t="shared" si="33"/>
        <v>0</v>
      </c>
      <c r="DK28" s="549">
        <f t="shared" si="33"/>
        <v>0</v>
      </c>
      <c r="DL28" s="549">
        <f t="shared" si="33"/>
        <v>0</v>
      </c>
      <c r="DM28" s="549">
        <f t="shared" si="33"/>
        <v>0</v>
      </c>
      <c r="DN28" s="549">
        <f t="shared" si="33"/>
        <v>0</v>
      </c>
      <c r="DO28" s="549">
        <f t="shared" si="33"/>
        <v>0</v>
      </c>
      <c r="DP28" s="549">
        <f t="shared" si="33"/>
        <v>0</v>
      </c>
      <c r="DQ28" s="549">
        <f t="shared" si="33"/>
        <v>0</v>
      </c>
      <c r="DR28" s="549">
        <f t="shared" si="33"/>
        <v>0</v>
      </c>
      <c r="DS28" s="549">
        <f t="shared" si="33"/>
        <v>8788542</v>
      </c>
      <c r="DT28" s="549">
        <f t="shared" si="33"/>
        <v>0</v>
      </c>
      <c r="DU28" s="549">
        <f t="shared" si="33"/>
        <v>35000000</v>
      </c>
      <c r="DV28" s="549">
        <f t="shared" si="33"/>
        <v>1206500</v>
      </c>
      <c r="DW28" s="549">
        <f t="shared" si="33"/>
        <v>0</v>
      </c>
      <c r="DX28" s="549">
        <f>+DX16+DX17+DX18+DX24+DX25</f>
        <v>0</v>
      </c>
      <c r="DY28" s="549">
        <f>+DY16+DY17+DY18+DY24+DY25</f>
        <v>0</v>
      </c>
      <c r="DZ28" s="549">
        <f>+DZ16+DZ17+DZ18+DZ24+DZ25</f>
        <v>0</v>
      </c>
      <c r="EA28" s="549">
        <f t="shared" si="33"/>
        <v>31712522</v>
      </c>
      <c r="EB28" s="549">
        <f t="shared" si="33"/>
        <v>0</v>
      </c>
      <c r="EC28" s="549">
        <f t="shared" si="33"/>
        <v>0</v>
      </c>
      <c r="ED28" s="549">
        <f t="shared" si="33"/>
        <v>0</v>
      </c>
      <c r="EE28" s="549">
        <f t="shared" si="33"/>
        <v>0</v>
      </c>
      <c r="EF28" s="549">
        <f>+EF16+EF17+EF18+EF24+EF25</f>
        <v>0</v>
      </c>
      <c r="EG28" s="549">
        <f>+EG16+EG17+EG18+EG24+EG25</f>
        <v>0</v>
      </c>
      <c r="EH28" s="549">
        <f>+EH16+EH17+EH18+EH24+EH25</f>
        <v>0</v>
      </c>
      <c r="EI28" s="549">
        <f>+EI16+EI17+EI18+EI24+EI25</f>
        <v>0</v>
      </c>
      <c r="EJ28" s="548">
        <f t="shared" si="0"/>
        <v>2118170039.8976378</v>
      </c>
      <c r="EK28" s="548">
        <f t="shared" si="1"/>
        <v>108430469</v>
      </c>
      <c r="EL28" s="548">
        <f t="shared" si="2"/>
        <v>0</v>
      </c>
      <c r="EM28" s="548">
        <f>+EJ28+EK28+EL28</f>
        <v>2226600508.897638</v>
      </c>
      <c r="EN28" s="551">
        <f t="shared" si="4"/>
        <v>56678745</v>
      </c>
      <c r="EO28" s="500">
        <f t="shared" si="5"/>
        <v>2226600508.897638</v>
      </c>
      <c r="EP28" s="500">
        <f t="shared" si="6"/>
        <v>0</v>
      </c>
    </row>
    <row r="29" spans="1:147" s="503" customFormat="1" ht="21.75" customHeight="1">
      <c r="A29" s="496" t="s">
        <v>323</v>
      </c>
      <c r="B29" s="512" t="s">
        <v>398</v>
      </c>
      <c r="C29" s="498" t="s">
        <v>32</v>
      </c>
      <c r="D29" s="549">
        <f>+D27+D28</f>
        <v>366273104</v>
      </c>
      <c r="E29" s="549">
        <f aca="true" t="shared" si="34" ref="E29:BP29">+E27+E28</f>
        <v>52909599.8976378</v>
      </c>
      <c r="F29" s="549">
        <f t="shared" si="34"/>
        <v>3322756</v>
      </c>
      <c r="G29" s="549">
        <f t="shared" si="34"/>
        <v>0</v>
      </c>
      <c r="H29" s="549">
        <f t="shared" si="34"/>
        <v>380125787</v>
      </c>
      <c r="I29" s="549">
        <f t="shared" si="34"/>
        <v>2000000</v>
      </c>
      <c r="J29" s="549">
        <f t="shared" si="34"/>
        <v>1000000</v>
      </c>
      <c r="K29" s="549">
        <f t="shared" si="34"/>
        <v>0</v>
      </c>
      <c r="L29" s="549">
        <f t="shared" si="34"/>
        <v>0</v>
      </c>
      <c r="M29" s="549">
        <f t="shared" si="34"/>
        <v>0</v>
      </c>
      <c r="N29" s="549">
        <f t="shared" si="34"/>
        <v>0</v>
      </c>
      <c r="O29" s="549">
        <f t="shared" si="34"/>
        <v>0</v>
      </c>
      <c r="P29" s="549">
        <f t="shared" si="34"/>
        <v>0</v>
      </c>
      <c r="Q29" s="549">
        <f t="shared" si="34"/>
        <v>68824039</v>
      </c>
      <c r="R29" s="549">
        <f t="shared" si="34"/>
        <v>41555950</v>
      </c>
      <c r="S29" s="549">
        <f t="shared" si="34"/>
        <v>500000</v>
      </c>
      <c r="T29" s="549">
        <f t="shared" si="34"/>
        <v>17114300</v>
      </c>
      <c r="U29" s="549">
        <f t="shared" si="34"/>
        <v>10000000</v>
      </c>
      <c r="V29" s="549">
        <f t="shared" si="34"/>
        <v>0</v>
      </c>
      <c r="W29" s="549">
        <f t="shared" si="34"/>
        <v>10000000</v>
      </c>
      <c r="X29" s="549">
        <f t="shared" si="34"/>
        <v>10000000</v>
      </c>
      <c r="Y29" s="549">
        <f t="shared" si="34"/>
        <v>12000000</v>
      </c>
      <c r="Z29" s="549">
        <f t="shared" si="34"/>
        <v>225337170</v>
      </c>
      <c r="AA29" s="549">
        <f t="shared" si="34"/>
        <v>38064500</v>
      </c>
      <c r="AB29" s="549">
        <f t="shared" si="34"/>
        <v>45000000</v>
      </c>
      <c r="AC29" s="549">
        <f t="shared" si="34"/>
        <v>7000000</v>
      </c>
      <c r="AD29" s="549">
        <f t="shared" si="34"/>
        <v>147000000</v>
      </c>
      <c r="AE29" s="549">
        <f t="shared" si="34"/>
        <v>76848231</v>
      </c>
      <c r="AF29" s="549">
        <f t="shared" si="34"/>
        <v>30282000</v>
      </c>
      <c r="AG29" s="549">
        <f t="shared" si="34"/>
        <v>2900000</v>
      </c>
      <c r="AH29" s="549">
        <f t="shared" si="34"/>
        <v>4200000</v>
      </c>
      <c r="AI29" s="549">
        <f t="shared" si="34"/>
        <v>5000000</v>
      </c>
      <c r="AJ29" s="549">
        <f t="shared" si="34"/>
        <v>13498700</v>
      </c>
      <c r="AK29" s="549">
        <f t="shared" si="34"/>
        <v>32190534</v>
      </c>
      <c r="AL29" s="549">
        <f t="shared" si="34"/>
        <v>0</v>
      </c>
      <c r="AM29" s="549">
        <f t="shared" si="34"/>
        <v>0</v>
      </c>
      <c r="AN29" s="549">
        <f t="shared" si="34"/>
        <v>1575000</v>
      </c>
      <c r="AO29" s="549">
        <f t="shared" si="34"/>
        <v>500000</v>
      </c>
      <c r="AP29" s="549">
        <f t="shared" si="34"/>
        <v>635000</v>
      </c>
      <c r="AQ29" s="549">
        <f t="shared" si="34"/>
        <v>5927976</v>
      </c>
      <c r="AR29" s="549">
        <f t="shared" si="34"/>
        <v>34250578</v>
      </c>
      <c r="AS29" s="549">
        <f t="shared" si="34"/>
        <v>38124668</v>
      </c>
      <c r="AT29" s="549">
        <f t="shared" si="34"/>
        <v>1000000</v>
      </c>
      <c r="AU29" s="549">
        <f t="shared" si="34"/>
        <v>2000000</v>
      </c>
      <c r="AV29" s="549">
        <f t="shared" si="34"/>
        <v>22623054</v>
      </c>
      <c r="AW29" s="549">
        <f t="shared" si="34"/>
        <v>58755954</v>
      </c>
      <c r="AX29" s="549">
        <f t="shared" si="34"/>
        <v>60500000</v>
      </c>
      <c r="AY29" s="549">
        <f t="shared" si="34"/>
        <v>18392050</v>
      </c>
      <c r="AZ29" s="549">
        <f t="shared" si="34"/>
        <v>40700000</v>
      </c>
      <c r="BA29" s="549">
        <f t="shared" si="34"/>
        <v>4000000</v>
      </c>
      <c r="BB29" s="549">
        <f t="shared" si="34"/>
        <v>85753069</v>
      </c>
      <c r="BC29" s="549">
        <f t="shared" si="34"/>
        <v>25000000</v>
      </c>
      <c r="BD29" s="549">
        <f t="shared" si="34"/>
        <v>21000000</v>
      </c>
      <c r="BE29" s="549">
        <f t="shared" si="34"/>
        <v>2250000</v>
      </c>
      <c r="BF29" s="549">
        <f t="shared" si="34"/>
        <v>6000000</v>
      </c>
      <c r="BG29" s="549">
        <f t="shared" si="34"/>
        <v>7511044</v>
      </c>
      <c r="BH29" s="549">
        <f t="shared" si="34"/>
        <v>3496172</v>
      </c>
      <c r="BI29" s="549">
        <f t="shared" si="34"/>
        <v>82628999</v>
      </c>
      <c r="BJ29" s="549">
        <f t="shared" si="34"/>
        <v>42971888</v>
      </c>
      <c r="BK29" s="549">
        <f t="shared" si="34"/>
        <v>47371000</v>
      </c>
      <c r="BL29" s="549">
        <f t="shared" si="34"/>
        <v>2400000</v>
      </c>
      <c r="BM29" s="549">
        <f t="shared" si="34"/>
        <v>10684432</v>
      </c>
      <c r="BN29" s="549">
        <f t="shared" si="34"/>
        <v>4545000</v>
      </c>
      <c r="BO29" s="549">
        <f t="shared" si="34"/>
        <v>500000</v>
      </c>
      <c r="BP29" s="549">
        <f t="shared" si="34"/>
        <v>4891000</v>
      </c>
      <c r="BQ29" s="549">
        <f aca="true" t="shared" si="35" ref="BQ29:EE29">+BQ27+BQ28</f>
        <v>2828400</v>
      </c>
      <c r="BR29" s="549">
        <f t="shared" si="35"/>
        <v>5000000</v>
      </c>
      <c r="BS29" s="549">
        <f t="shared" si="35"/>
        <v>2209800</v>
      </c>
      <c r="BT29" s="549">
        <f t="shared" si="35"/>
        <v>3733800</v>
      </c>
      <c r="BU29" s="549">
        <f t="shared" si="35"/>
        <v>0</v>
      </c>
      <c r="BV29" s="549">
        <f t="shared" si="35"/>
        <v>0</v>
      </c>
      <c r="BW29" s="549">
        <f t="shared" si="35"/>
        <v>0</v>
      </c>
      <c r="BX29" s="549">
        <f t="shared" si="35"/>
        <v>818887716</v>
      </c>
      <c r="BY29" s="549">
        <f t="shared" si="35"/>
        <v>2380186856</v>
      </c>
      <c r="BZ29" s="549">
        <f t="shared" si="35"/>
        <v>1030296</v>
      </c>
      <c r="CA29" s="549">
        <f t="shared" si="35"/>
        <v>17115500</v>
      </c>
      <c r="CB29" s="549">
        <f t="shared" si="35"/>
        <v>13851289</v>
      </c>
      <c r="CC29" s="549">
        <f t="shared" si="35"/>
        <v>4405000</v>
      </c>
      <c r="CD29" s="549">
        <f t="shared" si="35"/>
        <v>14568100</v>
      </c>
      <c r="CE29" s="549">
        <f t="shared" si="35"/>
        <v>4424998</v>
      </c>
      <c r="CF29" s="549">
        <f t="shared" si="35"/>
        <v>2891790</v>
      </c>
      <c r="CG29" s="549">
        <f t="shared" si="35"/>
        <v>0</v>
      </c>
      <c r="CH29" s="549">
        <f t="shared" si="35"/>
        <v>7204128</v>
      </c>
      <c r="CI29" s="549">
        <f t="shared" si="35"/>
        <v>355126625</v>
      </c>
      <c r="CJ29" s="549">
        <f t="shared" si="35"/>
        <v>61781665</v>
      </c>
      <c r="CK29" s="549">
        <f t="shared" si="35"/>
        <v>19750447</v>
      </c>
      <c r="CL29" s="549">
        <f t="shared" si="35"/>
        <v>19048807</v>
      </c>
      <c r="CM29" s="549">
        <f t="shared" si="35"/>
        <v>209536874</v>
      </c>
      <c r="CN29" s="549">
        <f t="shared" si="35"/>
        <v>8382000</v>
      </c>
      <c r="CO29" s="549">
        <f t="shared" si="35"/>
        <v>6840000</v>
      </c>
      <c r="CP29" s="549">
        <f t="shared" si="35"/>
        <v>184280832</v>
      </c>
      <c r="CQ29" s="549">
        <f t="shared" si="35"/>
        <v>222727054</v>
      </c>
      <c r="CR29" s="549">
        <f t="shared" si="35"/>
        <v>261212362</v>
      </c>
      <c r="CS29" s="549">
        <f t="shared" si="35"/>
        <v>18494922</v>
      </c>
      <c r="CT29" s="549">
        <f t="shared" si="35"/>
        <v>156332080</v>
      </c>
      <c r="CU29" s="549">
        <f t="shared" si="35"/>
        <v>974050</v>
      </c>
      <c r="CV29" s="549">
        <f t="shared" si="35"/>
        <v>62019456</v>
      </c>
      <c r="CW29" s="549">
        <f t="shared" si="35"/>
        <v>0</v>
      </c>
      <c r="CX29" s="549">
        <f t="shared" si="35"/>
        <v>27500000</v>
      </c>
      <c r="CY29" s="549">
        <f t="shared" si="35"/>
        <v>1000000</v>
      </c>
      <c r="CZ29" s="549">
        <f t="shared" si="35"/>
        <v>2300000</v>
      </c>
      <c r="DA29" s="549">
        <f t="shared" si="35"/>
        <v>2508938</v>
      </c>
      <c r="DB29" s="549">
        <f t="shared" si="35"/>
        <v>3000000</v>
      </c>
      <c r="DC29" s="549">
        <f t="shared" si="35"/>
        <v>1656000</v>
      </c>
      <c r="DD29" s="549">
        <f t="shared" si="35"/>
        <v>500000</v>
      </c>
      <c r="DE29" s="549">
        <f t="shared" si="35"/>
        <v>500000</v>
      </c>
      <c r="DF29" s="549">
        <f t="shared" si="35"/>
        <v>4500000</v>
      </c>
      <c r="DG29" s="549">
        <f t="shared" si="35"/>
        <v>4000000</v>
      </c>
      <c r="DH29" s="549">
        <f t="shared" si="35"/>
        <v>1000000</v>
      </c>
      <c r="DI29" s="549">
        <f t="shared" si="35"/>
        <v>10000000</v>
      </c>
      <c r="DJ29" s="549">
        <f t="shared" si="35"/>
        <v>13085448</v>
      </c>
      <c r="DK29" s="549">
        <f t="shared" si="35"/>
        <v>75789412</v>
      </c>
      <c r="DL29" s="549">
        <f t="shared" si="35"/>
        <v>3078000</v>
      </c>
      <c r="DM29" s="549">
        <f t="shared" si="35"/>
        <v>0</v>
      </c>
      <c r="DN29" s="549">
        <f t="shared" si="35"/>
        <v>0</v>
      </c>
      <c r="DO29" s="549">
        <f t="shared" si="35"/>
        <v>1000000</v>
      </c>
      <c r="DP29" s="549">
        <f t="shared" si="35"/>
        <v>0</v>
      </c>
      <c r="DQ29" s="549">
        <f t="shared" si="35"/>
        <v>4400000</v>
      </c>
      <c r="DR29" s="549">
        <f t="shared" si="35"/>
        <v>70000</v>
      </c>
      <c r="DS29" s="549">
        <f t="shared" si="35"/>
        <v>80788542</v>
      </c>
      <c r="DT29" s="549">
        <f t="shared" si="35"/>
        <v>4000000</v>
      </c>
      <c r="DU29" s="549">
        <f t="shared" si="35"/>
        <v>55350000</v>
      </c>
      <c r="DV29" s="549">
        <f t="shared" si="35"/>
        <v>40966580</v>
      </c>
      <c r="DW29" s="549">
        <f t="shared" si="35"/>
        <v>21156000</v>
      </c>
      <c r="DX29" s="549">
        <f>+DX27+DX28</f>
        <v>10000000</v>
      </c>
      <c r="DY29" s="549">
        <f>+DY27+DY28</f>
        <v>10000000</v>
      </c>
      <c r="DZ29" s="549">
        <f>+DZ27+DZ28</f>
        <v>682508</v>
      </c>
      <c r="EA29" s="549">
        <f t="shared" si="35"/>
        <v>1574768788</v>
      </c>
      <c r="EB29" s="549">
        <f t="shared" si="35"/>
        <v>0</v>
      </c>
      <c r="EC29" s="549">
        <f t="shared" si="35"/>
        <v>0</v>
      </c>
      <c r="ED29" s="549">
        <f t="shared" si="35"/>
        <v>0</v>
      </c>
      <c r="EE29" s="549">
        <f t="shared" si="35"/>
        <v>0</v>
      </c>
      <c r="EF29" s="549">
        <f>+EF27+EF28</f>
        <v>0</v>
      </c>
      <c r="EG29" s="549">
        <f>+EG27+EG28</f>
        <v>0</v>
      </c>
      <c r="EH29" s="549">
        <f>+EH27+EH28</f>
        <v>0</v>
      </c>
      <c r="EI29" s="549">
        <f>+EI27+EI28</f>
        <v>0</v>
      </c>
      <c r="EJ29" s="548">
        <f t="shared" si="0"/>
        <v>6945869580.897638</v>
      </c>
      <c r="EK29" s="548">
        <f t="shared" si="1"/>
        <v>2110509037</v>
      </c>
      <c r="EL29" s="548">
        <f t="shared" si="2"/>
        <v>1000000</v>
      </c>
      <c r="EM29" s="548">
        <f>+EJ29+EK29+EL29</f>
        <v>9057378617.897638</v>
      </c>
      <c r="EN29" s="551">
        <f t="shared" si="4"/>
        <v>68859456</v>
      </c>
      <c r="EO29" s="500">
        <f t="shared" si="5"/>
        <v>9057378617.897638</v>
      </c>
      <c r="EP29" s="500">
        <f t="shared" si="6"/>
        <v>0</v>
      </c>
      <c r="EQ29" s="503">
        <v>6873632041</v>
      </c>
    </row>
    <row r="30" spans="1:147" ht="21.75" customHeight="1">
      <c r="A30" s="496" t="s">
        <v>324</v>
      </c>
      <c r="B30" s="502" t="s">
        <v>54</v>
      </c>
      <c r="C30" s="509" t="s">
        <v>267</v>
      </c>
      <c r="D30" s="582"/>
      <c r="E30" s="582"/>
      <c r="F30" s="582"/>
      <c r="G30" s="582"/>
      <c r="H30" s="582"/>
      <c r="I30" s="582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  <c r="BJ30" s="551"/>
      <c r="BK30" s="551"/>
      <c r="BL30" s="551"/>
      <c r="BM30" s="551"/>
      <c r="BN30" s="551"/>
      <c r="BO30" s="551"/>
      <c r="BP30" s="551"/>
      <c r="BQ30" s="551"/>
      <c r="BR30" s="551"/>
      <c r="BS30" s="551"/>
      <c r="BT30" s="551"/>
      <c r="BU30" s="551"/>
      <c r="BV30" s="551"/>
      <c r="BW30" s="551"/>
      <c r="BX30" s="551"/>
      <c r="BY30" s="551"/>
      <c r="BZ30" s="551"/>
      <c r="CA30" s="551"/>
      <c r="CB30" s="551"/>
      <c r="CC30" s="551"/>
      <c r="CD30" s="551"/>
      <c r="CE30" s="551"/>
      <c r="CF30" s="551"/>
      <c r="CG30" s="551"/>
      <c r="CH30" s="551"/>
      <c r="CI30" s="551"/>
      <c r="CJ30" s="551"/>
      <c r="CK30" s="551"/>
      <c r="CL30" s="551"/>
      <c r="CM30" s="551"/>
      <c r="CN30" s="551"/>
      <c r="CO30" s="551"/>
      <c r="CP30" s="551"/>
      <c r="CQ30" s="551"/>
      <c r="CR30" s="551"/>
      <c r="CS30" s="551"/>
      <c r="CT30" s="551"/>
      <c r="CU30" s="551"/>
      <c r="CV30" s="551"/>
      <c r="CW30" s="551"/>
      <c r="CX30" s="551"/>
      <c r="CY30" s="551"/>
      <c r="CZ30" s="551"/>
      <c r="DA30" s="551"/>
      <c r="DB30" s="551"/>
      <c r="DC30" s="499"/>
      <c r="DD30" s="551"/>
      <c r="DE30" s="551"/>
      <c r="DF30" s="551"/>
      <c r="DG30" s="582"/>
      <c r="DH30" s="582"/>
      <c r="DI30" s="582"/>
      <c r="DJ30" s="582"/>
      <c r="DK30" s="582"/>
      <c r="DL30" s="582"/>
      <c r="DM30" s="582"/>
      <c r="DN30" s="582"/>
      <c r="DO30" s="582"/>
      <c r="DP30" s="582"/>
      <c r="DQ30" s="582"/>
      <c r="DR30" s="551"/>
      <c r="DS30" s="551"/>
      <c r="DT30" s="551"/>
      <c r="DU30" s="551"/>
      <c r="DV30" s="551"/>
      <c r="DW30" s="551">
        <v>1896984</v>
      </c>
      <c r="DX30" s="551"/>
      <c r="DY30" s="551"/>
      <c r="DZ30" s="551"/>
      <c r="EA30" s="551"/>
      <c r="EB30" s="551"/>
      <c r="EC30" s="551"/>
      <c r="ED30" s="551"/>
      <c r="EE30" s="551"/>
      <c r="EF30" s="551"/>
      <c r="EG30" s="551"/>
      <c r="EH30" s="551">
        <v>816739160</v>
      </c>
      <c r="EI30" s="551"/>
      <c r="EJ30" s="551">
        <f t="shared" si="0"/>
        <v>818636144</v>
      </c>
      <c r="EK30" s="551">
        <f t="shared" si="1"/>
        <v>0</v>
      </c>
      <c r="EL30" s="551">
        <f t="shared" si="2"/>
        <v>0</v>
      </c>
      <c r="EM30" s="551">
        <f t="shared" si="3"/>
        <v>818636144</v>
      </c>
      <c r="EN30" s="551">
        <f t="shared" si="4"/>
        <v>0</v>
      </c>
      <c r="EO30" s="500">
        <f t="shared" si="5"/>
        <v>818636144</v>
      </c>
      <c r="EP30" s="500">
        <f t="shared" si="6"/>
        <v>0</v>
      </c>
      <c r="EQ30" s="501">
        <f>+EQ29-EM29</f>
        <v>-2183746576.8976383</v>
      </c>
    </row>
    <row r="31" spans="1:146" ht="21.75" customHeight="1">
      <c r="A31" s="496" t="s">
        <v>325</v>
      </c>
      <c r="B31" s="502" t="s">
        <v>278</v>
      </c>
      <c r="C31" s="509" t="s">
        <v>268</v>
      </c>
      <c r="D31" s="582"/>
      <c r="E31" s="582"/>
      <c r="F31" s="582"/>
      <c r="G31" s="582"/>
      <c r="H31" s="582"/>
      <c r="I31" s="582"/>
      <c r="J31" s="551"/>
      <c r="K31" s="551"/>
      <c r="L31" s="551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1"/>
      <c r="BJ31" s="551"/>
      <c r="BK31" s="551"/>
      <c r="BL31" s="551"/>
      <c r="BM31" s="551"/>
      <c r="BN31" s="551"/>
      <c r="BO31" s="551"/>
      <c r="BP31" s="551"/>
      <c r="BQ31" s="551"/>
      <c r="BR31" s="551"/>
      <c r="BS31" s="551"/>
      <c r="BT31" s="551"/>
      <c r="BU31" s="551"/>
      <c r="BV31" s="551"/>
      <c r="BW31" s="551"/>
      <c r="BX31" s="551"/>
      <c r="BY31" s="551"/>
      <c r="BZ31" s="551"/>
      <c r="CA31" s="551"/>
      <c r="CB31" s="551"/>
      <c r="CC31" s="551"/>
      <c r="CD31" s="551"/>
      <c r="CE31" s="551"/>
      <c r="CF31" s="551"/>
      <c r="CG31" s="551"/>
      <c r="CH31" s="551"/>
      <c r="CI31" s="551"/>
      <c r="CJ31" s="551">
        <v>19813395</v>
      </c>
      <c r="CK31" s="551"/>
      <c r="CL31" s="551"/>
      <c r="CM31" s="551"/>
      <c r="CN31" s="551"/>
      <c r="CO31" s="551"/>
      <c r="CP31" s="551">
        <v>41808765</v>
      </c>
      <c r="CQ31" s="551"/>
      <c r="CR31" s="551">
        <v>73649723</v>
      </c>
      <c r="CS31" s="551"/>
      <c r="CT31" s="551">
        <v>93094080</v>
      </c>
      <c r="CU31" s="551"/>
      <c r="CV31" s="551"/>
      <c r="CW31" s="551"/>
      <c r="CX31" s="551"/>
      <c r="CY31" s="551"/>
      <c r="CZ31" s="551"/>
      <c r="DA31" s="551"/>
      <c r="DB31" s="551"/>
      <c r="DC31" s="499"/>
      <c r="DD31" s="551"/>
      <c r="DE31" s="551"/>
      <c r="DF31" s="551"/>
      <c r="DG31" s="582"/>
      <c r="DH31" s="582"/>
      <c r="DI31" s="582"/>
      <c r="DJ31" s="582"/>
      <c r="DK31" s="582"/>
      <c r="DL31" s="582"/>
      <c r="DM31" s="582"/>
      <c r="DN31" s="582"/>
      <c r="DO31" s="582"/>
      <c r="DP31" s="582"/>
      <c r="DQ31" s="582"/>
      <c r="DR31" s="551"/>
      <c r="DS31" s="551"/>
      <c r="DT31" s="551"/>
      <c r="DU31" s="551"/>
      <c r="DV31" s="551"/>
      <c r="DW31" s="551"/>
      <c r="DX31" s="551"/>
      <c r="DY31" s="551"/>
      <c r="DZ31" s="551"/>
      <c r="EA31" s="551"/>
      <c r="EB31" s="551"/>
      <c r="EC31" s="551"/>
      <c r="ED31" s="551"/>
      <c r="EE31" s="551"/>
      <c r="EF31" s="551"/>
      <c r="EG31" s="551"/>
      <c r="EH31" s="551"/>
      <c r="EI31" s="551"/>
      <c r="EJ31" s="551">
        <f t="shared" si="0"/>
        <v>228365963</v>
      </c>
      <c r="EK31" s="551">
        <f t="shared" si="1"/>
        <v>0</v>
      </c>
      <c r="EL31" s="551">
        <f t="shared" si="2"/>
        <v>0</v>
      </c>
      <c r="EM31" s="551">
        <f t="shared" si="3"/>
        <v>228365963</v>
      </c>
      <c r="EN31" s="551">
        <f t="shared" si="4"/>
        <v>0</v>
      </c>
      <c r="EO31" s="500">
        <f t="shared" si="5"/>
        <v>228365963</v>
      </c>
      <c r="EP31" s="500">
        <f t="shared" si="6"/>
        <v>0</v>
      </c>
    </row>
    <row r="32" spans="1:146" ht="21.75" customHeight="1">
      <c r="A32" s="496" t="s">
        <v>326</v>
      </c>
      <c r="B32" s="502" t="s">
        <v>277</v>
      </c>
      <c r="C32" s="509" t="s">
        <v>269</v>
      </c>
      <c r="D32" s="582"/>
      <c r="E32" s="582"/>
      <c r="F32" s="582"/>
      <c r="G32" s="582"/>
      <c r="H32" s="582"/>
      <c r="I32" s="582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1"/>
      <c r="CE32" s="551"/>
      <c r="CF32" s="551"/>
      <c r="CG32" s="551"/>
      <c r="CH32" s="551"/>
      <c r="CI32" s="551"/>
      <c r="CJ32" s="551"/>
      <c r="CK32" s="551"/>
      <c r="CL32" s="551"/>
      <c r="CM32" s="551"/>
      <c r="CN32" s="551"/>
      <c r="CO32" s="551"/>
      <c r="CP32" s="551"/>
      <c r="CQ32" s="551"/>
      <c r="CR32" s="551"/>
      <c r="CS32" s="551"/>
      <c r="CT32" s="551"/>
      <c r="CU32" s="551"/>
      <c r="CV32" s="551"/>
      <c r="CW32" s="551"/>
      <c r="CX32" s="551"/>
      <c r="CY32" s="551"/>
      <c r="CZ32" s="551"/>
      <c r="DA32" s="551"/>
      <c r="DB32" s="551"/>
      <c r="DC32" s="499"/>
      <c r="DD32" s="551"/>
      <c r="DE32" s="551"/>
      <c r="DF32" s="551"/>
      <c r="DG32" s="582"/>
      <c r="DH32" s="582"/>
      <c r="DI32" s="582"/>
      <c r="DJ32" s="582"/>
      <c r="DK32" s="582"/>
      <c r="DL32" s="582"/>
      <c r="DM32" s="582"/>
      <c r="DN32" s="582"/>
      <c r="DO32" s="582"/>
      <c r="DP32" s="582"/>
      <c r="DQ32" s="583"/>
      <c r="DR32" s="551"/>
      <c r="DS32" s="551"/>
      <c r="DT32" s="551"/>
      <c r="DU32" s="551"/>
      <c r="DV32" s="551"/>
      <c r="DW32" s="551"/>
      <c r="DX32" s="551"/>
      <c r="DY32" s="551"/>
      <c r="DZ32" s="551"/>
      <c r="EA32" s="551"/>
      <c r="EB32" s="551">
        <f>455000000+55000000</f>
        <v>510000000</v>
      </c>
      <c r="EC32" s="551">
        <v>135000000</v>
      </c>
      <c r="ED32" s="551">
        <v>22200000</v>
      </c>
      <c r="EE32" s="551">
        <v>160000</v>
      </c>
      <c r="EF32" s="551">
        <f>2950000000</f>
        <v>2950000000</v>
      </c>
      <c r="EG32" s="551">
        <v>95000000</v>
      </c>
      <c r="EH32" s="551"/>
      <c r="EI32" s="551">
        <f>6804505+62383693</f>
        <v>69188198</v>
      </c>
      <c r="EJ32" s="551">
        <f t="shared" si="0"/>
        <v>3781548198</v>
      </c>
      <c r="EK32" s="551">
        <f t="shared" si="1"/>
        <v>0</v>
      </c>
      <c r="EL32" s="551">
        <f t="shared" si="2"/>
        <v>0</v>
      </c>
      <c r="EM32" s="551">
        <f t="shared" si="3"/>
        <v>3781548198</v>
      </c>
      <c r="EN32" s="551">
        <f t="shared" si="4"/>
        <v>0</v>
      </c>
      <c r="EO32" s="500">
        <f t="shared" si="5"/>
        <v>3781548198</v>
      </c>
      <c r="EP32" s="500">
        <f t="shared" si="6"/>
        <v>0</v>
      </c>
    </row>
    <row r="33" spans="1:146" ht="21.75" customHeight="1">
      <c r="A33" s="496" t="s">
        <v>327</v>
      </c>
      <c r="B33" s="505" t="s">
        <v>0</v>
      </c>
      <c r="C33" s="509" t="s">
        <v>270</v>
      </c>
      <c r="D33" s="582"/>
      <c r="E33" s="582"/>
      <c r="F33" s="582"/>
      <c r="G33" s="582"/>
      <c r="H33" s="582"/>
      <c r="I33" s="582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>
        <v>35500000</v>
      </c>
      <c r="AL33" s="551">
        <f>1895000+65000</f>
        <v>1960000</v>
      </c>
      <c r="AM33" s="551">
        <v>279100</v>
      </c>
      <c r="AN33" s="551"/>
      <c r="AO33" s="551"/>
      <c r="AP33" s="551"/>
      <c r="AQ33" s="551"/>
      <c r="AR33" s="551"/>
      <c r="AS33" s="551"/>
      <c r="AT33" s="551">
        <f>9693127+739368</f>
        <v>10432495</v>
      </c>
      <c r="AU33" s="551">
        <v>979980</v>
      </c>
      <c r="AV33" s="551">
        <v>3810000</v>
      </c>
      <c r="AW33" s="551">
        <v>28550000</v>
      </c>
      <c r="AX33" s="551"/>
      <c r="AY33" s="551"/>
      <c r="AZ33" s="551"/>
      <c r="BA33" s="551"/>
      <c r="BB33" s="551">
        <f>8600000+7580000-7580000</f>
        <v>8600000</v>
      </c>
      <c r="BC33" s="551"/>
      <c r="BD33" s="551"/>
      <c r="BE33" s="551"/>
      <c r="BF33" s="551"/>
      <c r="BG33" s="551"/>
      <c r="BH33" s="551"/>
      <c r="BI33" s="551">
        <v>82628999</v>
      </c>
      <c r="BJ33" s="551"/>
      <c r="BK33" s="551">
        <v>47371000</v>
      </c>
      <c r="BL33" s="551"/>
      <c r="BM33" s="551"/>
      <c r="BN33" s="551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>
        <v>228600</v>
      </c>
      <c r="CB33" s="551"/>
      <c r="CC33" s="551"/>
      <c r="CD33" s="551">
        <v>3048840</v>
      </c>
      <c r="CE33" s="551"/>
      <c r="CF33" s="551"/>
      <c r="CG33" s="551"/>
      <c r="CH33" s="551"/>
      <c r="CI33" s="551"/>
      <c r="CJ33" s="551"/>
      <c r="CK33" s="551"/>
      <c r="CL33" s="551"/>
      <c r="CM33" s="551"/>
      <c r="CN33" s="551"/>
      <c r="CO33" s="551"/>
      <c r="CP33" s="551"/>
      <c r="CQ33" s="551"/>
      <c r="CR33" s="551"/>
      <c r="CS33" s="551"/>
      <c r="CT33" s="551"/>
      <c r="CU33" s="551"/>
      <c r="CV33" s="551"/>
      <c r="CW33" s="551"/>
      <c r="CX33" s="551"/>
      <c r="CY33" s="551"/>
      <c r="CZ33" s="551"/>
      <c r="DA33" s="551"/>
      <c r="DB33" s="551"/>
      <c r="DC33" s="499"/>
      <c r="DD33" s="551"/>
      <c r="DE33" s="551"/>
      <c r="DF33" s="551"/>
      <c r="DG33" s="582"/>
      <c r="DH33" s="582"/>
      <c r="DI33" s="582"/>
      <c r="DJ33" s="582"/>
      <c r="DK33" s="582"/>
      <c r="DL33" s="582"/>
      <c r="DM33" s="582"/>
      <c r="DN33" s="582"/>
      <c r="DO33" s="582"/>
      <c r="DP33" s="582"/>
      <c r="DQ33" s="583"/>
      <c r="DR33" s="551"/>
      <c r="DS33" s="551"/>
      <c r="DT33" s="551"/>
      <c r="DU33" s="551"/>
      <c r="DV33" s="551"/>
      <c r="DW33" s="551"/>
      <c r="DX33" s="551"/>
      <c r="DY33" s="551"/>
      <c r="DZ33" s="551"/>
      <c r="EA33" s="551"/>
      <c r="EB33" s="551"/>
      <c r="EC33" s="551"/>
      <c r="ED33" s="551"/>
      <c r="EE33" s="551"/>
      <c r="EF33" s="551"/>
      <c r="EG33" s="551"/>
      <c r="EH33" s="551"/>
      <c r="EI33" s="551">
        <f>105831926-EI32</f>
        <v>36643728</v>
      </c>
      <c r="EJ33" s="551">
        <f t="shared" si="0"/>
        <v>222654142</v>
      </c>
      <c r="EK33" s="551">
        <f t="shared" si="1"/>
        <v>37378600</v>
      </c>
      <c r="EL33" s="551">
        <f t="shared" si="2"/>
        <v>0</v>
      </c>
      <c r="EM33" s="551">
        <f t="shared" si="3"/>
        <v>260032742</v>
      </c>
      <c r="EN33" s="551">
        <f t="shared" si="4"/>
        <v>0</v>
      </c>
      <c r="EO33" s="500">
        <f t="shared" si="5"/>
        <v>260032742</v>
      </c>
      <c r="EP33" s="500">
        <f t="shared" si="6"/>
        <v>0</v>
      </c>
    </row>
    <row r="34" spans="1:146" ht="21.75" customHeight="1">
      <c r="A34" s="496" t="s">
        <v>328</v>
      </c>
      <c r="B34" s="502" t="s">
        <v>300</v>
      </c>
      <c r="C34" s="509" t="s">
        <v>271</v>
      </c>
      <c r="D34" s="582"/>
      <c r="E34" s="582"/>
      <c r="F34" s="582"/>
      <c r="G34" s="582"/>
      <c r="H34" s="582"/>
      <c r="I34" s="582"/>
      <c r="J34" s="551"/>
      <c r="K34" s="551"/>
      <c r="L34" s="551"/>
      <c r="M34" s="551">
        <v>60000000</v>
      </c>
      <c r="N34" s="551"/>
      <c r="O34" s="551"/>
      <c r="P34" s="548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>
        <v>40000000</v>
      </c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48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  <c r="CB34" s="551"/>
      <c r="CC34" s="551"/>
      <c r="CD34" s="551"/>
      <c r="CE34" s="551"/>
      <c r="CF34" s="551"/>
      <c r="CG34" s="551"/>
      <c r="CH34" s="551"/>
      <c r="CI34" s="551"/>
      <c r="CJ34" s="551"/>
      <c r="CK34" s="551"/>
      <c r="CL34" s="551"/>
      <c r="CM34" s="551"/>
      <c r="CN34" s="551"/>
      <c r="CO34" s="551"/>
      <c r="CP34" s="551"/>
      <c r="CQ34" s="551"/>
      <c r="CR34" s="551"/>
      <c r="CS34" s="551"/>
      <c r="CT34" s="551"/>
      <c r="CU34" s="551"/>
      <c r="CV34" s="551"/>
      <c r="CW34" s="551"/>
      <c r="CX34" s="551"/>
      <c r="CY34" s="551"/>
      <c r="CZ34" s="551"/>
      <c r="DA34" s="551"/>
      <c r="DB34" s="551"/>
      <c r="DC34" s="499"/>
      <c r="DD34" s="551"/>
      <c r="DE34" s="551"/>
      <c r="DF34" s="551"/>
      <c r="DG34" s="582"/>
      <c r="DH34" s="582"/>
      <c r="DI34" s="582"/>
      <c r="DJ34" s="582"/>
      <c r="DK34" s="582"/>
      <c r="DL34" s="582"/>
      <c r="DM34" s="582"/>
      <c r="DN34" s="582"/>
      <c r="DO34" s="582"/>
      <c r="DP34" s="582"/>
      <c r="DQ34" s="583"/>
      <c r="DR34" s="551"/>
      <c r="DS34" s="551"/>
      <c r="DT34" s="551"/>
      <c r="DU34" s="551"/>
      <c r="DV34" s="551"/>
      <c r="DW34" s="551"/>
      <c r="DX34" s="551"/>
      <c r="DY34" s="551"/>
      <c r="DZ34" s="551"/>
      <c r="EA34" s="551"/>
      <c r="EB34" s="551"/>
      <c r="EC34" s="551"/>
      <c r="ED34" s="551"/>
      <c r="EE34" s="551"/>
      <c r="EF34" s="551"/>
      <c r="EG34" s="551"/>
      <c r="EH34" s="551"/>
      <c r="EI34" s="551"/>
      <c r="EJ34" s="551">
        <f t="shared" si="0"/>
        <v>40000000</v>
      </c>
      <c r="EK34" s="551">
        <f t="shared" si="1"/>
        <v>60000000</v>
      </c>
      <c r="EL34" s="551">
        <f t="shared" si="2"/>
        <v>0</v>
      </c>
      <c r="EM34" s="551">
        <f t="shared" si="3"/>
        <v>100000000</v>
      </c>
      <c r="EN34" s="551">
        <f t="shared" si="4"/>
        <v>0</v>
      </c>
      <c r="EO34" s="500">
        <f t="shared" si="5"/>
        <v>100000000</v>
      </c>
      <c r="EP34" s="500">
        <f t="shared" si="6"/>
        <v>0</v>
      </c>
    </row>
    <row r="35" spans="1:146" ht="21.75" customHeight="1">
      <c r="A35" s="496" t="s">
        <v>329</v>
      </c>
      <c r="B35" s="502" t="s">
        <v>295</v>
      </c>
      <c r="C35" s="509" t="s">
        <v>272</v>
      </c>
      <c r="D35" s="582"/>
      <c r="E35" s="582"/>
      <c r="F35" s="582"/>
      <c r="G35" s="582"/>
      <c r="H35" s="582"/>
      <c r="I35" s="582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>
        <v>9040000</v>
      </c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1"/>
      <c r="BV35" s="551"/>
      <c r="BW35" s="551"/>
      <c r="BX35" s="551"/>
      <c r="BY35" s="551"/>
      <c r="BZ35" s="551"/>
      <c r="CA35" s="551"/>
      <c r="CB35" s="551"/>
      <c r="CC35" s="551"/>
      <c r="CD35" s="551"/>
      <c r="CE35" s="551"/>
      <c r="CF35" s="551"/>
      <c r="CG35" s="551"/>
      <c r="CH35" s="551"/>
      <c r="CI35" s="551"/>
      <c r="CJ35" s="551"/>
      <c r="CK35" s="551"/>
      <c r="CL35" s="551"/>
      <c r="CM35" s="551"/>
      <c r="CN35" s="551"/>
      <c r="CO35" s="551"/>
      <c r="CP35" s="551"/>
      <c r="CQ35" s="551"/>
      <c r="CR35" s="551"/>
      <c r="CS35" s="551"/>
      <c r="CT35" s="551"/>
      <c r="CU35" s="551"/>
      <c r="CV35" s="551"/>
      <c r="CW35" s="551"/>
      <c r="CX35" s="551"/>
      <c r="CY35" s="551"/>
      <c r="CZ35" s="551"/>
      <c r="DA35" s="551"/>
      <c r="DB35" s="551"/>
      <c r="DC35" s="499"/>
      <c r="DD35" s="551"/>
      <c r="DE35" s="551"/>
      <c r="DF35" s="551"/>
      <c r="DG35" s="582"/>
      <c r="DH35" s="582"/>
      <c r="DI35" s="582"/>
      <c r="DJ35" s="582"/>
      <c r="DK35" s="582"/>
      <c r="DL35" s="582"/>
      <c r="DM35" s="582"/>
      <c r="DN35" s="582"/>
      <c r="DO35" s="582"/>
      <c r="DP35" s="582"/>
      <c r="DQ35" s="583"/>
      <c r="DR35" s="551"/>
      <c r="DS35" s="551"/>
      <c r="DT35" s="551"/>
      <c r="DU35" s="551"/>
      <c r="DV35" s="551"/>
      <c r="DW35" s="551"/>
      <c r="DX35" s="551"/>
      <c r="DY35" s="551"/>
      <c r="DZ35" s="551"/>
      <c r="EA35" s="551"/>
      <c r="EB35" s="551"/>
      <c r="EC35" s="551"/>
      <c r="ED35" s="551"/>
      <c r="EE35" s="551"/>
      <c r="EF35" s="551"/>
      <c r="EG35" s="551"/>
      <c r="EH35" s="551"/>
      <c r="EI35" s="551"/>
      <c r="EJ35" s="551">
        <f t="shared" si="0"/>
        <v>9040000</v>
      </c>
      <c r="EK35" s="551">
        <f t="shared" si="1"/>
        <v>0</v>
      </c>
      <c r="EL35" s="551">
        <f t="shared" si="2"/>
        <v>0</v>
      </c>
      <c r="EM35" s="551">
        <f t="shared" si="3"/>
        <v>9040000</v>
      </c>
      <c r="EN35" s="551">
        <f t="shared" si="4"/>
        <v>0</v>
      </c>
      <c r="EO35" s="500">
        <f t="shared" si="5"/>
        <v>9040000</v>
      </c>
      <c r="EP35" s="500">
        <f t="shared" si="6"/>
        <v>0</v>
      </c>
    </row>
    <row r="36" spans="1:146" ht="21.75" customHeight="1">
      <c r="A36" s="496" t="s">
        <v>330</v>
      </c>
      <c r="B36" s="502" t="s">
        <v>296</v>
      </c>
      <c r="C36" s="509" t="s">
        <v>273</v>
      </c>
      <c r="D36" s="582"/>
      <c r="E36" s="582"/>
      <c r="F36" s="582"/>
      <c r="G36" s="582"/>
      <c r="H36" s="582"/>
      <c r="I36" s="582"/>
      <c r="J36" s="551"/>
      <c r="K36" s="551"/>
      <c r="L36" s="551">
        <v>601200</v>
      </c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1"/>
      <c r="BV36" s="551"/>
      <c r="BW36" s="551"/>
      <c r="BX36" s="551"/>
      <c r="BY36" s="551"/>
      <c r="BZ36" s="551"/>
      <c r="CA36" s="551"/>
      <c r="CB36" s="551"/>
      <c r="CC36" s="551"/>
      <c r="CD36" s="551"/>
      <c r="CE36" s="551"/>
      <c r="CF36" s="551"/>
      <c r="CG36" s="551"/>
      <c r="CH36" s="551"/>
      <c r="CI36" s="551"/>
      <c r="CJ36" s="551"/>
      <c r="CK36" s="551"/>
      <c r="CL36" s="551"/>
      <c r="CM36" s="551">
        <f>162250000+449720</f>
        <v>162699720</v>
      </c>
      <c r="CN36" s="551"/>
      <c r="CO36" s="551"/>
      <c r="CP36" s="551"/>
      <c r="CQ36" s="551"/>
      <c r="CR36" s="551"/>
      <c r="CS36" s="551"/>
      <c r="CT36" s="551"/>
      <c r="CU36" s="551"/>
      <c r="CV36" s="551"/>
      <c r="CW36" s="551"/>
      <c r="CX36" s="551"/>
      <c r="CY36" s="551"/>
      <c r="CZ36" s="551"/>
      <c r="DA36" s="551"/>
      <c r="DB36" s="551"/>
      <c r="DC36" s="499"/>
      <c r="DD36" s="551"/>
      <c r="DE36" s="551"/>
      <c r="DF36" s="551"/>
      <c r="DG36" s="582"/>
      <c r="DH36" s="582"/>
      <c r="DI36" s="582"/>
      <c r="DJ36" s="582"/>
      <c r="DK36" s="582"/>
      <c r="DL36" s="582"/>
      <c r="DM36" s="582"/>
      <c r="DN36" s="582"/>
      <c r="DO36" s="582"/>
      <c r="DP36" s="582"/>
      <c r="DQ36" s="583"/>
      <c r="DR36" s="551"/>
      <c r="DS36" s="551"/>
      <c r="DT36" s="551"/>
      <c r="DU36" s="551"/>
      <c r="DV36" s="551"/>
      <c r="DW36" s="551"/>
      <c r="DX36" s="551"/>
      <c r="DY36" s="551"/>
      <c r="DZ36" s="551"/>
      <c r="EA36" s="551"/>
      <c r="EB36" s="551"/>
      <c r="EC36" s="551"/>
      <c r="ED36" s="551"/>
      <c r="EE36" s="551"/>
      <c r="EF36" s="551"/>
      <c r="EG36" s="551"/>
      <c r="EH36" s="551"/>
      <c r="EI36" s="551"/>
      <c r="EJ36" s="551">
        <f t="shared" si="0"/>
        <v>162699720</v>
      </c>
      <c r="EK36" s="551">
        <f t="shared" si="1"/>
        <v>601200</v>
      </c>
      <c r="EL36" s="551">
        <f t="shared" si="2"/>
        <v>0</v>
      </c>
      <c r="EM36" s="551">
        <f t="shared" si="3"/>
        <v>163300920</v>
      </c>
      <c r="EN36" s="551">
        <f t="shared" si="4"/>
        <v>0</v>
      </c>
      <c r="EO36" s="500">
        <f t="shared" si="5"/>
        <v>163300920</v>
      </c>
      <c r="EP36" s="500">
        <f t="shared" si="6"/>
        <v>0</v>
      </c>
    </row>
    <row r="37" spans="1:146" s="503" customFormat="1" ht="21.75" customHeight="1">
      <c r="A37" s="496" t="s">
        <v>331</v>
      </c>
      <c r="B37" s="505" t="s">
        <v>297</v>
      </c>
      <c r="C37" s="509" t="s">
        <v>274</v>
      </c>
      <c r="D37" s="548">
        <f>SUM(D30:D36)</f>
        <v>0</v>
      </c>
      <c r="E37" s="548">
        <f aca="true" t="shared" si="36" ref="E37:BE37">SUM(E30:E36)</f>
        <v>0</v>
      </c>
      <c r="F37" s="548">
        <f t="shared" si="36"/>
        <v>0</v>
      </c>
      <c r="G37" s="548">
        <f t="shared" si="36"/>
        <v>0</v>
      </c>
      <c r="H37" s="548">
        <f t="shared" si="36"/>
        <v>0</v>
      </c>
      <c r="I37" s="548">
        <f t="shared" si="36"/>
        <v>0</v>
      </c>
      <c r="J37" s="548">
        <f aca="true" t="shared" si="37" ref="J37:P37">SUM(J30:J36)</f>
        <v>0</v>
      </c>
      <c r="K37" s="548">
        <f t="shared" si="37"/>
        <v>0</v>
      </c>
      <c r="L37" s="548">
        <f t="shared" si="37"/>
        <v>601200</v>
      </c>
      <c r="M37" s="548">
        <f t="shared" si="37"/>
        <v>60000000</v>
      </c>
      <c r="N37" s="548">
        <f t="shared" si="37"/>
        <v>0</v>
      </c>
      <c r="O37" s="548">
        <f t="shared" si="37"/>
        <v>0</v>
      </c>
      <c r="P37" s="548">
        <f t="shared" si="37"/>
        <v>0</v>
      </c>
      <c r="Q37" s="548">
        <f t="shared" si="36"/>
        <v>0</v>
      </c>
      <c r="R37" s="548">
        <f t="shared" si="36"/>
        <v>0</v>
      </c>
      <c r="S37" s="548">
        <f aca="true" t="shared" si="38" ref="S37:X37">SUM(S30:S36)</f>
        <v>0</v>
      </c>
      <c r="T37" s="548">
        <f t="shared" si="38"/>
        <v>0</v>
      </c>
      <c r="U37" s="548">
        <f t="shared" si="38"/>
        <v>0</v>
      </c>
      <c r="V37" s="548">
        <f t="shared" si="38"/>
        <v>0</v>
      </c>
      <c r="W37" s="548">
        <f t="shared" si="38"/>
        <v>0</v>
      </c>
      <c r="X37" s="548">
        <f t="shared" si="38"/>
        <v>0</v>
      </c>
      <c r="Y37" s="548">
        <f t="shared" si="36"/>
        <v>0</v>
      </c>
      <c r="Z37" s="548">
        <f t="shared" si="36"/>
        <v>0</v>
      </c>
      <c r="AA37" s="548">
        <f t="shared" si="36"/>
        <v>0</v>
      </c>
      <c r="AB37" s="548">
        <f t="shared" si="36"/>
        <v>9040000</v>
      </c>
      <c r="AC37" s="548">
        <f t="shared" si="36"/>
        <v>0</v>
      </c>
      <c r="AD37" s="548">
        <f t="shared" si="36"/>
        <v>0</v>
      </c>
      <c r="AE37" s="548">
        <f t="shared" si="36"/>
        <v>0</v>
      </c>
      <c r="AF37" s="548">
        <f t="shared" si="36"/>
        <v>40000000</v>
      </c>
      <c r="AG37" s="548">
        <f t="shared" si="36"/>
        <v>0</v>
      </c>
      <c r="AH37" s="548">
        <f t="shared" si="36"/>
        <v>0</v>
      </c>
      <c r="AI37" s="548">
        <f t="shared" si="36"/>
        <v>0</v>
      </c>
      <c r="AJ37" s="548">
        <f t="shared" si="36"/>
        <v>0</v>
      </c>
      <c r="AK37" s="548">
        <f t="shared" si="36"/>
        <v>35500000</v>
      </c>
      <c r="AL37" s="548">
        <f>SUM(AL30:AL36)</f>
        <v>1960000</v>
      </c>
      <c r="AM37" s="548">
        <f>SUM(AM30:AM36)</f>
        <v>279100</v>
      </c>
      <c r="AN37" s="548">
        <f t="shared" si="36"/>
        <v>0</v>
      </c>
      <c r="AO37" s="548">
        <f>SUM(AO30:AO36)</f>
        <v>0</v>
      </c>
      <c r="AP37" s="548">
        <f t="shared" si="36"/>
        <v>0</v>
      </c>
      <c r="AQ37" s="548">
        <f t="shared" si="36"/>
        <v>0</v>
      </c>
      <c r="AR37" s="548">
        <f t="shared" si="36"/>
        <v>0</v>
      </c>
      <c r="AS37" s="548">
        <f>SUM(AS30:AS36)</f>
        <v>0</v>
      </c>
      <c r="AT37" s="548">
        <f t="shared" si="36"/>
        <v>10432495</v>
      </c>
      <c r="AU37" s="548">
        <f t="shared" si="36"/>
        <v>979980</v>
      </c>
      <c r="AV37" s="548">
        <f t="shared" si="36"/>
        <v>3810000</v>
      </c>
      <c r="AW37" s="548">
        <f t="shared" si="36"/>
        <v>28550000</v>
      </c>
      <c r="AX37" s="548">
        <f t="shared" si="36"/>
        <v>0</v>
      </c>
      <c r="AY37" s="548">
        <f t="shared" si="36"/>
        <v>0</v>
      </c>
      <c r="AZ37" s="548">
        <f t="shared" si="36"/>
        <v>0</v>
      </c>
      <c r="BA37" s="548">
        <f t="shared" si="36"/>
        <v>0</v>
      </c>
      <c r="BB37" s="548">
        <f>SUM(BB30:BB36)</f>
        <v>8600000</v>
      </c>
      <c r="BC37" s="548">
        <f>SUM(BC30:BC36)</f>
        <v>0</v>
      </c>
      <c r="BD37" s="548">
        <f t="shared" si="36"/>
        <v>0</v>
      </c>
      <c r="BE37" s="548">
        <f t="shared" si="36"/>
        <v>0</v>
      </c>
      <c r="BF37" s="548">
        <f aca="true" t="shared" si="39" ref="BF37:BR37">SUM(BF30:BF36)</f>
        <v>0</v>
      </c>
      <c r="BG37" s="548">
        <f t="shared" si="39"/>
        <v>0</v>
      </c>
      <c r="BH37" s="548">
        <f t="shared" si="39"/>
        <v>0</v>
      </c>
      <c r="BI37" s="548">
        <f t="shared" si="39"/>
        <v>82628999</v>
      </c>
      <c r="BJ37" s="548">
        <f t="shared" si="39"/>
        <v>0</v>
      </c>
      <c r="BK37" s="548">
        <f t="shared" si="39"/>
        <v>47371000</v>
      </c>
      <c r="BL37" s="548">
        <f t="shared" si="39"/>
        <v>0</v>
      </c>
      <c r="BM37" s="548">
        <f t="shared" si="39"/>
        <v>0</v>
      </c>
      <c r="BN37" s="548">
        <f t="shared" si="39"/>
        <v>0</v>
      </c>
      <c r="BO37" s="548">
        <f t="shared" si="39"/>
        <v>0</v>
      </c>
      <c r="BP37" s="548">
        <f t="shared" si="39"/>
        <v>0</v>
      </c>
      <c r="BQ37" s="548">
        <f t="shared" si="39"/>
        <v>0</v>
      </c>
      <c r="BR37" s="548">
        <f t="shared" si="39"/>
        <v>0</v>
      </c>
      <c r="BS37" s="548"/>
      <c r="BT37" s="548"/>
      <c r="BU37" s="548"/>
      <c r="BV37" s="548"/>
      <c r="BW37" s="548"/>
      <c r="BX37" s="548">
        <f aca="true" t="shared" si="40" ref="BX37:CE37">SUM(BX30:BX36)</f>
        <v>0</v>
      </c>
      <c r="BY37" s="548">
        <f t="shared" si="40"/>
        <v>0</v>
      </c>
      <c r="BZ37" s="548">
        <f t="shared" si="40"/>
        <v>0</v>
      </c>
      <c r="CA37" s="548">
        <f t="shared" si="40"/>
        <v>228600</v>
      </c>
      <c r="CB37" s="548">
        <f t="shared" si="40"/>
        <v>0</v>
      </c>
      <c r="CC37" s="548">
        <f t="shared" si="40"/>
        <v>0</v>
      </c>
      <c r="CD37" s="548">
        <f t="shared" si="40"/>
        <v>3048840</v>
      </c>
      <c r="CE37" s="548">
        <f t="shared" si="40"/>
        <v>0</v>
      </c>
      <c r="CF37" s="548"/>
      <c r="CG37" s="548">
        <f aca="true" t="shared" si="41" ref="CG37:DM37">SUM(CG30:CG36)</f>
        <v>0</v>
      </c>
      <c r="CH37" s="548">
        <f t="shared" si="41"/>
        <v>0</v>
      </c>
      <c r="CI37" s="548">
        <f t="shared" si="41"/>
        <v>0</v>
      </c>
      <c r="CJ37" s="548">
        <f t="shared" si="41"/>
        <v>19813395</v>
      </c>
      <c r="CK37" s="548">
        <f t="shared" si="41"/>
        <v>0</v>
      </c>
      <c r="CL37" s="548">
        <f t="shared" si="41"/>
        <v>0</v>
      </c>
      <c r="CM37" s="548">
        <f t="shared" si="41"/>
        <v>162699720</v>
      </c>
      <c r="CN37" s="548">
        <f t="shared" si="41"/>
        <v>0</v>
      </c>
      <c r="CO37" s="548">
        <f t="shared" si="41"/>
        <v>0</v>
      </c>
      <c r="CP37" s="548">
        <f t="shared" si="41"/>
        <v>41808765</v>
      </c>
      <c r="CQ37" s="548">
        <f t="shared" si="41"/>
        <v>0</v>
      </c>
      <c r="CR37" s="548">
        <f t="shared" si="41"/>
        <v>73649723</v>
      </c>
      <c r="CS37" s="548">
        <f t="shared" si="41"/>
        <v>0</v>
      </c>
      <c r="CT37" s="548">
        <f t="shared" si="41"/>
        <v>93094080</v>
      </c>
      <c r="CU37" s="548">
        <f t="shared" si="41"/>
        <v>0</v>
      </c>
      <c r="CV37" s="548">
        <f>SUM(CV30:CV36)</f>
        <v>0</v>
      </c>
      <c r="CW37" s="548">
        <f t="shared" si="41"/>
        <v>0</v>
      </c>
      <c r="CX37" s="548">
        <f t="shared" si="41"/>
        <v>0</v>
      </c>
      <c r="CY37" s="548">
        <f t="shared" si="41"/>
        <v>0</v>
      </c>
      <c r="CZ37" s="548">
        <f t="shared" si="41"/>
        <v>0</v>
      </c>
      <c r="DA37" s="548">
        <f t="shared" si="41"/>
        <v>0</v>
      </c>
      <c r="DB37" s="548">
        <f t="shared" si="41"/>
        <v>0</v>
      </c>
      <c r="DC37" s="671">
        <f t="shared" si="41"/>
        <v>0</v>
      </c>
      <c r="DD37" s="548">
        <f t="shared" si="41"/>
        <v>0</v>
      </c>
      <c r="DE37" s="548">
        <f t="shared" si="41"/>
        <v>0</v>
      </c>
      <c r="DF37" s="548">
        <f t="shared" si="41"/>
        <v>0</v>
      </c>
      <c r="DG37" s="548">
        <f t="shared" si="41"/>
        <v>0</v>
      </c>
      <c r="DH37" s="548">
        <f t="shared" si="41"/>
        <v>0</v>
      </c>
      <c r="DI37" s="548">
        <f t="shared" si="41"/>
        <v>0</v>
      </c>
      <c r="DJ37" s="548">
        <f t="shared" si="41"/>
        <v>0</v>
      </c>
      <c r="DK37" s="548">
        <f t="shared" si="41"/>
        <v>0</v>
      </c>
      <c r="DL37" s="548">
        <f t="shared" si="41"/>
        <v>0</v>
      </c>
      <c r="DM37" s="548">
        <f t="shared" si="41"/>
        <v>0</v>
      </c>
      <c r="DN37" s="548">
        <f aca="true" t="shared" si="42" ref="DN37:EI37">SUM(DN30:DN36)</f>
        <v>0</v>
      </c>
      <c r="DO37" s="548">
        <f t="shared" si="42"/>
        <v>0</v>
      </c>
      <c r="DP37" s="548">
        <f t="shared" si="42"/>
        <v>0</v>
      </c>
      <c r="DQ37" s="548">
        <f t="shared" si="42"/>
        <v>0</v>
      </c>
      <c r="DR37" s="548">
        <f t="shared" si="42"/>
        <v>0</v>
      </c>
      <c r="DS37" s="548">
        <f t="shared" si="42"/>
        <v>0</v>
      </c>
      <c r="DT37" s="548">
        <f t="shared" si="42"/>
        <v>0</v>
      </c>
      <c r="DU37" s="548">
        <f t="shared" si="42"/>
        <v>0</v>
      </c>
      <c r="DV37" s="548">
        <f t="shared" si="42"/>
        <v>0</v>
      </c>
      <c r="DW37" s="548">
        <f t="shared" si="42"/>
        <v>1896984</v>
      </c>
      <c r="DX37" s="548"/>
      <c r="DY37" s="548"/>
      <c r="DZ37" s="548"/>
      <c r="EA37" s="548">
        <f t="shared" si="42"/>
        <v>0</v>
      </c>
      <c r="EB37" s="548">
        <f t="shared" si="42"/>
        <v>510000000</v>
      </c>
      <c r="EC37" s="548">
        <f t="shared" si="42"/>
        <v>135000000</v>
      </c>
      <c r="ED37" s="548">
        <f t="shared" si="42"/>
        <v>22200000</v>
      </c>
      <c r="EE37" s="548">
        <f t="shared" si="42"/>
        <v>160000</v>
      </c>
      <c r="EF37" s="548">
        <f t="shared" si="42"/>
        <v>2950000000</v>
      </c>
      <c r="EG37" s="548">
        <f t="shared" si="42"/>
        <v>95000000</v>
      </c>
      <c r="EH37" s="548">
        <f>SUM(EH30:EH36)</f>
        <v>816739160</v>
      </c>
      <c r="EI37" s="548">
        <f t="shared" si="42"/>
        <v>105831926</v>
      </c>
      <c r="EJ37" s="548">
        <f t="shared" si="0"/>
        <v>5262944167</v>
      </c>
      <c r="EK37" s="548">
        <f t="shared" si="1"/>
        <v>97979800</v>
      </c>
      <c r="EL37" s="548">
        <f t="shared" si="2"/>
        <v>0</v>
      </c>
      <c r="EM37" s="548">
        <f t="shared" si="3"/>
        <v>5360923967</v>
      </c>
      <c r="EN37" s="551">
        <f t="shared" si="4"/>
        <v>0</v>
      </c>
      <c r="EO37" s="500">
        <f t="shared" si="5"/>
        <v>5360923967</v>
      </c>
      <c r="EP37" s="500">
        <f>+EM30+EM31+EM32+EM33+EM34+EM35+EM36</f>
        <v>5360923967</v>
      </c>
    </row>
    <row r="38" spans="1:146" s="503" customFormat="1" ht="21.75" customHeight="1">
      <c r="A38" s="496" t="s">
        <v>332</v>
      </c>
      <c r="B38" s="509" t="s">
        <v>298</v>
      </c>
      <c r="C38" s="498" t="s">
        <v>276</v>
      </c>
      <c r="D38" s="523">
        <f>SUM(D40:D44)</f>
        <v>0</v>
      </c>
      <c r="E38" s="523">
        <f>SUM(E40:E44)</f>
        <v>0</v>
      </c>
      <c r="F38" s="523">
        <f>SUM(F40:F44)</f>
        <v>0</v>
      </c>
      <c r="G38" s="523"/>
      <c r="H38" s="523">
        <f aca="true" t="shared" si="43" ref="H38:BE38">SUM(H40:H44)</f>
        <v>0</v>
      </c>
      <c r="I38" s="523">
        <f t="shared" si="43"/>
        <v>0</v>
      </c>
      <c r="J38" s="523">
        <f aca="true" t="shared" si="44" ref="J38:P38">SUM(J40:J44)</f>
        <v>0</v>
      </c>
      <c r="K38" s="523">
        <f t="shared" si="44"/>
        <v>0</v>
      </c>
      <c r="L38" s="523">
        <f t="shared" si="44"/>
        <v>0</v>
      </c>
      <c r="M38" s="523">
        <f t="shared" si="44"/>
        <v>0</v>
      </c>
      <c r="N38" s="523">
        <f t="shared" si="44"/>
        <v>2196454651</v>
      </c>
      <c r="O38" s="523">
        <f t="shared" si="44"/>
        <v>0</v>
      </c>
      <c r="P38" s="523">
        <f t="shared" si="44"/>
        <v>0</v>
      </c>
      <c r="Q38" s="523">
        <f t="shared" si="43"/>
        <v>0</v>
      </c>
      <c r="R38" s="523">
        <f t="shared" si="43"/>
        <v>0</v>
      </c>
      <c r="S38" s="523">
        <f aca="true" t="shared" si="45" ref="S38:X38">SUM(S40:S44)</f>
        <v>0</v>
      </c>
      <c r="T38" s="523">
        <f t="shared" si="45"/>
        <v>0</v>
      </c>
      <c r="U38" s="523">
        <f t="shared" si="45"/>
        <v>0</v>
      </c>
      <c r="V38" s="523">
        <f t="shared" si="45"/>
        <v>0</v>
      </c>
      <c r="W38" s="523">
        <f t="shared" si="45"/>
        <v>0</v>
      </c>
      <c r="X38" s="523">
        <f t="shared" si="45"/>
        <v>0</v>
      </c>
      <c r="Y38" s="523">
        <f t="shared" si="43"/>
        <v>0</v>
      </c>
      <c r="Z38" s="523">
        <f t="shared" si="43"/>
        <v>0</v>
      </c>
      <c r="AA38" s="523">
        <f t="shared" si="43"/>
        <v>0</v>
      </c>
      <c r="AB38" s="523">
        <f t="shared" si="43"/>
        <v>0</v>
      </c>
      <c r="AC38" s="523">
        <f t="shared" si="43"/>
        <v>0</v>
      </c>
      <c r="AD38" s="523">
        <f t="shared" si="43"/>
        <v>0</v>
      </c>
      <c r="AE38" s="523">
        <f t="shared" si="43"/>
        <v>0</v>
      </c>
      <c r="AF38" s="523">
        <f t="shared" si="43"/>
        <v>0</v>
      </c>
      <c r="AG38" s="523">
        <f t="shared" si="43"/>
        <v>0</v>
      </c>
      <c r="AH38" s="523">
        <f t="shared" si="43"/>
        <v>0</v>
      </c>
      <c r="AI38" s="523">
        <f t="shared" si="43"/>
        <v>0</v>
      </c>
      <c r="AJ38" s="523">
        <f t="shared" si="43"/>
        <v>0</v>
      </c>
      <c r="AK38" s="523">
        <f t="shared" si="43"/>
        <v>0</v>
      </c>
      <c r="AL38" s="523">
        <f>SUM(AL40:AL44)</f>
        <v>0</v>
      </c>
      <c r="AM38" s="523">
        <f>SUM(AM40:AM44)</f>
        <v>0</v>
      </c>
      <c r="AN38" s="523">
        <f t="shared" si="43"/>
        <v>0</v>
      </c>
      <c r="AO38" s="523">
        <f>SUM(AO40:AO44)</f>
        <v>0</v>
      </c>
      <c r="AP38" s="523">
        <f t="shared" si="43"/>
        <v>0</v>
      </c>
      <c r="AQ38" s="523">
        <f t="shared" si="43"/>
        <v>0</v>
      </c>
      <c r="AR38" s="523">
        <f t="shared" si="43"/>
        <v>0</v>
      </c>
      <c r="AS38" s="523">
        <f>SUM(AS40:AS44)</f>
        <v>0</v>
      </c>
      <c r="AT38" s="523">
        <f t="shared" si="43"/>
        <v>0</v>
      </c>
      <c r="AU38" s="523">
        <f t="shared" si="43"/>
        <v>0</v>
      </c>
      <c r="AV38" s="523">
        <f t="shared" si="43"/>
        <v>0</v>
      </c>
      <c r="AW38" s="523">
        <f t="shared" si="43"/>
        <v>0</v>
      </c>
      <c r="AX38" s="523">
        <f t="shared" si="43"/>
        <v>0</v>
      </c>
      <c r="AY38" s="523">
        <f t="shared" si="43"/>
        <v>0</v>
      </c>
      <c r="AZ38" s="523">
        <f t="shared" si="43"/>
        <v>0</v>
      </c>
      <c r="BA38" s="523">
        <f t="shared" si="43"/>
        <v>0</v>
      </c>
      <c r="BB38" s="523">
        <f>SUM(BB40:BB44)</f>
        <v>0</v>
      </c>
      <c r="BC38" s="523">
        <f>SUM(BC40:BC44)</f>
        <v>0</v>
      </c>
      <c r="BD38" s="523">
        <f t="shared" si="43"/>
        <v>0</v>
      </c>
      <c r="BE38" s="523">
        <f t="shared" si="43"/>
        <v>0</v>
      </c>
      <c r="BF38" s="523">
        <f>SUM(BF40:BF44)</f>
        <v>0</v>
      </c>
      <c r="BG38" s="523">
        <f>SUM(BG40:BG44)</f>
        <v>0</v>
      </c>
      <c r="BH38" s="523"/>
      <c r="BI38" s="523">
        <f>SUM(BI40:BI44)</f>
        <v>0</v>
      </c>
      <c r="BJ38" s="523"/>
      <c r="BK38" s="523">
        <f>SUM(BK40:BK44)</f>
        <v>0</v>
      </c>
      <c r="BL38" s="523">
        <f>SUM(BL40:BL44)</f>
        <v>0</v>
      </c>
      <c r="BM38" s="523">
        <f>SUM(BM40:BM44)</f>
        <v>0</v>
      </c>
      <c r="BN38" s="523">
        <f>SUM(BN40:BN44)</f>
        <v>0</v>
      </c>
      <c r="BO38" s="523">
        <f>SUM(BO40:BO44)</f>
        <v>0</v>
      </c>
      <c r="BP38" s="523"/>
      <c r="BQ38" s="523">
        <f>SUM(BQ40:BQ44)</f>
        <v>0</v>
      </c>
      <c r="BR38" s="523"/>
      <c r="BS38" s="523"/>
      <c r="BT38" s="523"/>
      <c r="BU38" s="523"/>
      <c r="BV38" s="523"/>
      <c r="BW38" s="523"/>
      <c r="BX38" s="523">
        <f aca="true" t="shared" si="46" ref="BX38:CE38">SUM(BX40:BX44)</f>
        <v>0</v>
      </c>
      <c r="BY38" s="523">
        <f t="shared" si="46"/>
        <v>0</v>
      </c>
      <c r="BZ38" s="523">
        <f t="shared" si="46"/>
        <v>0</v>
      </c>
      <c r="CA38" s="523">
        <f t="shared" si="46"/>
        <v>0</v>
      </c>
      <c r="CB38" s="523">
        <f t="shared" si="46"/>
        <v>0</v>
      </c>
      <c r="CC38" s="523">
        <f t="shared" si="46"/>
        <v>0</v>
      </c>
      <c r="CD38" s="523">
        <f t="shared" si="46"/>
        <v>0</v>
      </c>
      <c r="CE38" s="523">
        <f t="shared" si="46"/>
        <v>0</v>
      </c>
      <c r="CF38" s="523"/>
      <c r="CG38" s="523">
        <f>SUM(CG40:CG44)</f>
        <v>0</v>
      </c>
      <c r="CH38" s="523">
        <f>SUM(CH40:CH44)</f>
        <v>0</v>
      </c>
      <c r="CI38" s="523">
        <f aca="true" t="shared" si="47" ref="CI38:CN38">SUM(CI40:CI44)</f>
        <v>0</v>
      </c>
      <c r="CJ38" s="523">
        <f t="shared" si="47"/>
        <v>0</v>
      </c>
      <c r="CK38" s="523">
        <f t="shared" si="47"/>
        <v>0</v>
      </c>
      <c r="CL38" s="523">
        <f t="shared" si="47"/>
        <v>0</v>
      </c>
      <c r="CM38" s="523">
        <f t="shared" si="47"/>
        <v>0</v>
      </c>
      <c r="CN38" s="523">
        <f t="shared" si="47"/>
        <v>0</v>
      </c>
      <c r="CO38" s="523">
        <f>SUM(CO40:CO44)</f>
        <v>0</v>
      </c>
      <c r="CP38" s="523">
        <f>SUM(CP40:CP44)</f>
        <v>0</v>
      </c>
      <c r="CQ38" s="523">
        <f>SUM(CQ40:CQ44)</f>
        <v>0</v>
      </c>
      <c r="CR38" s="523"/>
      <c r="CS38" s="523"/>
      <c r="CT38" s="523">
        <f aca="true" t="shared" si="48" ref="CT38:DB38">SUM(CT40:CT44)</f>
        <v>0</v>
      </c>
      <c r="CU38" s="523">
        <f t="shared" si="48"/>
        <v>0</v>
      </c>
      <c r="CV38" s="523">
        <f>SUM(CV40:CV44)</f>
        <v>0</v>
      </c>
      <c r="CW38" s="523">
        <f t="shared" si="48"/>
        <v>0</v>
      </c>
      <c r="CX38" s="523">
        <f t="shared" si="48"/>
        <v>0</v>
      </c>
      <c r="CY38" s="523">
        <f t="shared" si="48"/>
        <v>0</v>
      </c>
      <c r="CZ38" s="523">
        <f t="shared" si="48"/>
        <v>0</v>
      </c>
      <c r="DA38" s="523">
        <f t="shared" si="48"/>
        <v>0</v>
      </c>
      <c r="DB38" s="523">
        <f t="shared" si="48"/>
        <v>0</v>
      </c>
      <c r="DC38" s="593"/>
      <c r="DD38" s="523">
        <f aca="true" t="shared" si="49" ref="DD38:EI38">SUM(DD40:DD44)</f>
        <v>0</v>
      </c>
      <c r="DE38" s="523">
        <f t="shared" si="49"/>
        <v>0</v>
      </c>
      <c r="DF38" s="523">
        <f t="shared" si="49"/>
        <v>0</v>
      </c>
      <c r="DG38" s="523">
        <f t="shared" si="49"/>
        <v>0</v>
      </c>
      <c r="DH38" s="523">
        <f t="shared" si="49"/>
        <v>0</v>
      </c>
      <c r="DI38" s="523">
        <f t="shared" si="49"/>
        <v>0</v>
      </c>
      <c r="DJ38" s="523">
        <f t="shared" si="49"/>
        <v>0</v>
      </c>
      <c r="DK38" s="523">
        <f t="shared" si="49"/>
        <v>0</v>
      </c>
      <c r="DL38" s="523">
        <f t="shared" si="49"/>
        <v>0</v>
      </c>
      <c r="DM38" s="523">
        <f t="shared" si="49"/>
        <v>0</v>
      </c>
      <c r="DN38" s="523">
        <f t="shared" si="49"/>
        <v>0</v>
      </c>
      <c r="DO38" s="523">
        <f t="shared" si="49"/>
        <v>0</v>
      </c>
      <c r="DP38" s="523">
        <f t="shared" si="49"/>
        <v>0</v>
      </c>
      <c r="DQ38" s="523">
        <f t="shared" si="49"/>
        <v>0</v>
      </c>
      <c r="DR38" s="523">
        <f t="shared" si="49"/>
        <v>0</v>
      </c>
      <c r="DS38" s="523">
        <f t="shared" si="49"/>
        <v>0</v>
      </c>
      <c r="DT38" s="523">
        <f t="shared" si="49"/>
        <v>0</v>
      </c>
      <c r="DU38" s="523">
        <f t="shared" si="49"/>
        <v>0</v>
      </c>
      <c r="DV38" s="523">
        <f t="shared" si="49"/>
        <v>0</v>
      </c>
      <c r="DW38" s="523">
        <f t="shared" si="49"/>
        <v>0</v>
      </c>
      <c r="DX38" s="523"/>
      <c r="DY38" s="523"/>
      <c r="DZ38" s="523"/>
      <c r="EA38" s="523">
        <f>SUM(EA40:EA45)</f>
        <v>1500000000</v>
      </c>
      <c r="EB38" s="523">
        <f t="shared" si="49"/>
        <v>0</v>
      </c>
      <c r="EC38" s="523">
        <f t="shared" si="49"/>
        <v>0</v>
      </c>
      <c r="ED38" s="523">
        <f t="shared" si="49"/>
        <v>0</v>
      </c>
      <c r="EE38" s="523">
        <f t="shared" si="49"/>
        <v>0</v>
      </c>
      <c r="EF38" s="523">
        <f t="shared" si="49"/>
        <v>0</v>
      </c>
      <c r="EG38" s="523">
        <f t="shared" si="49"/>
        <v>0</v>
      </c>
      <c r="EH38" s="523">
        <f>SUM(EH40:EH44)</f>
        <v>0</v>
      </c>
      <c r="EI38" s="523">
        <f t="shared" si="49"/>
        <v>0</v>
      </c>
      <c r="EJ38" s="551">
        <f t="shared" si="0"/>
        <v>2196454651</v>
      </c>
      <c r="EK38" s="551">
        <f t="shared" si="1"/>
        <v>1500000000</v>
      </c>
      <c r="EL38" s="551">
        <f t="shared" si="2"/>
        <v>0</v>
      </c>
      <c r="EM38" s="551">
        <f t="shared" si="3"/>
        <v>3696454651</v>
      </c>
      <c r="EN38" s="551">
        <f t="shared" si="4"/>
        <v>0</v>
      </c>
      <c r="EO38" s="500">
        <f t="shared" si="5"/>
        <v>3696454651</v>
      </c>
      <c r="EP38" s="500">
        <f aca="true" t="shared" si="50" ref="EP38:EP49">+EO38-EM38</f>
        <v>0</v>
      </c>
    </row>
    <row r="39" spans="1:146" s="503" customFormat="1" ht="21.75" customHeight="1">
      <c r="A39" s="496" t="s">
        <v>333</v>
      </c>
      <c r="B39" s="510" t="s">
        <v>754</v>
      </c>
      <c r="C39" s="498"/>
      <c r="D39" s="523"/>
      <c r="E39" s="523"/>
      <c r="F39" s="523"/>
      <c r="G39" s="523"/>
      <c r="H39" s="523"/>
      <c r="I39" s="523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49"/>
      <c r="AS39" s="549"/>
      <c r="AT39" s="549"/>
      <c r="AU39" s="549"/>
      <c r="AV39" s="549"/>
      <c r="AW39" s="549"/>
      <c r="AX39" s="549"/>
      <c r="AY39" s="549"/>
      <c r="AZ39" s="549"/>
      <c r="BA39" s="549"/>
      <c r="BB39" s="549"/>
      <c r="BC39" s="549"/>
      <c r="BD39" s="549"/>
      <c r="BE39" s="549"/>
      <c r="BF39" s="549"/>
      <c r="BG39" s="549"/>
      <c r="BH39" s="549"/>
      <c r="BI39" s="549"/>
      <c r="BJ39" s="549"/>
      <c r="BK39" s="549"/>
      <c r="BL39" s="549"/>
      <c r="BM39" s="549"/>
      <c r="BN39" s="549"/>
      <c r="BO39" s="549"/>
      <c r="BP39" s="549"/>
      <c r="BQ39" s="549"/>
      <c r="BR39" s="549"/>
      <c r="BS39" s="549"/>
      <c r="BT39" s="549"/>
      <c r="BU39" s="549"/>
      <c r="BV39" s="549"/>
      <c r="BW39" s="549"/>
      <c r="BX39" s="549"/>
      <c r="BY39" s="549"/>
      <c r="BZ39" s="549"/>
      <c r="CA39" s="549"/>
      <c r="CB39" s="549"/>
      <c r="CC39" s="549"/>
      <c r="CD39" s="549"/>
      <c r="CE39" s="549"/>
      <c r="CF39" s="549"/>
      <c r="CG39" s="549"/>
      <c r="CH39" s="549"/>
      <c r="CI39" s="549"/>
      <c r="CJ39" s="549"/>
      <c r="CK39" s="549"/>
      <c r="CL39" s="549"/>
      <c r="CM39" s="549"/>
      <c r="CN39" s="549"/>
      <c r="CO39" s="549"/>
      <c r="CP39" s="549"/>
      <c r="CQ39" s="549"/>
      <c r="CR39" s="549"/>
      <c r="CS39" s="549"/>
      <c r="CT39" s="549"/>
      <c r="CU39" s="549"/>
      <c r="CV39" s="549"/>
      <c r="CW39" s="549"/>
      <c r="CX39" s="549"/>
      <c r="CY39" s="549"/>
      <c r="CZ39" s="549"/>
      <c r="DA39" s="549"/>
      <c r="DB39" s="549"/>
      <c r="DC39" s="672"/>
      <c r="DD39" s="549"/>
      <c r="DE39" s="549"/>
      <c r="DF39" s="549"/>
      <c r="DG39" s="523"/>
      <c r="DH39" s="523"/>
      <c r="DI39" s="523"/>
      <c r="DJ39" s="523"/>
      <c r="DK39" s="523"/>
      <c r="DL39" s="523"/>
      <c r="DM39" s="523"/>
      <c r="DN39" s="523"/>
      <c r="DO39" s="523"/>
      <c r="DP39" s="523"/>
      <c r="DQ39" s="523"/>
      <c r="DR39" s="523"/>
      <c r="DS39" s="549"/>
      <c r="DT39" s="549"/>
      <c r="DU39" s="549"/>
      <c r="DV39" s="549"/>
      <c r="DW39" s="549"/>
      <c r="DX39" s="549"/>
      <c r="DY39" s="549"/>
      <c r="DZ39" s="549"/>
      <c r="EA39" s="549"/>
      <c r="EB39" s="549"/>
      <c r="EC39" s="549"/>
      <c r="ED39" s="549"/>
      <c r="EE39" s="549"/>
      <c r="EF39" s="549"/>
      <c r="EG39" s="549"/>
      <c r="EH39" s="549"/>
      <c r="EI39" s="549"/>
      <c r="EJ39" s="551">
        <f t="shared" si="0"/>
        <v>0</v>
      </c>
      <c r="EK39" s="551">
        <f t="shared" si="1"/>
        <v>0</v>
      </c>
      <c r="EL39" s="551">
        <f t="shared" si="2"/>
        <v>0</v>
      </c>
      <c r="EM39" s="551">
        <f t="shared" si="3"/>
        <v>0</v>
      </c>
      <c r="EN39" s="551">
        <f t="shared" si="4"/>
        <v>0</v>
      </c>
      <c r="EO39" s="500">
        <f t="shared" si="5"/>
        <v>0</v>
      </c>
      <c r="EP39" s="500"/>
    </row>
    <row r="40" spans="1:146" s="511" customFormat="1" ht="21.75" customHeight="1">
      <c r="A40" s="496" t="s">
        <v>334</v>
      </c>
      <c r="B40" s="510" t="s">
        <v>713</v>
      </c>
      <c r="C40" s="507"/>
      <c r="D40" s="547"/>
      <c r="E40" s="547"/>
      <c r="F40" s="547"/>
      <c r="G40" s="547"/>
      <c r="H40" s="547"/>
      <c r="I40" s="547"/>
      <c r="J40" s="552"/>
      <c r="K40" s="552"/>
      <c r="L40" s="552"/>
      <c r="M40" s="552"/>
      <c r="N40" s="552">
        <f>760114307+71193344+76361348+200000000</f>
        <v>1107668999</v>
      </c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  <c r="BT40" s="552"/>
      <c r="BU40" s="552"/>
      <c r="BV40" s="552"/>
      <c r="BW40" s="552"/>
      <c r="BX40" s="552"/>
      <c r="BY40" s="552"/>
      <c r="BZ40" s="552"/>
      <c r="CA40" s="552"/>
      <c r="CB40" s="552"/>
      <c r="CC40" s="552"/>
      <c r="CD40" s="552"/>
      <c r="CE40" s="552"/>
      <c r="CF40" s="552"/>
      <c r="CG40" s="552"/>
      <c r="CH40" s="552"/>
      <c r="CI40" s="552"/>
      <c r="CJ40" s="552"/>
      <c r="CK40" s="552"/>
      <c r="CL40" s="552"/>
      <c r="CM40" s="552"/>
      <c r="CN40" s="552"/>
      <c r="CO40" s="552"/>
      <c r="CP40" s="552"/>
      <c r="CQ40" s="552"/>
      <c r="CR40" s="552"/>
      <c r="CS40" s="552"/>
      <c r="CT40" s="552"/>
      <c r="CU40" s="552"/>
      <c r="CV40" s="552"/>
      <c r="CW40" s="552"/>
      <c r="CX40" s="552"/>
      <c r="CY40" s="552"/>
      <c r="CZ40" s="552"/>
      <c r="DA40" s="552"/>
      <c r="DB40" s="552"/>
      <c r="DC40" s="674"/>
      <c r="DD40" s="552"/>
      <c r="DE40" s="552"/>
      <c r="DF40" s="552"/>
      <c r="DG40" s="547"/>
      <c r="DH40" s="547"/>
      <c r="DI40" s="547"/>
      <c r="DJ40" s="547"/>
      <c r="DK40" s="547"/>
      <c r="DL40" s="547"/>
      <c r="DM40" s="547"/>
      <c r="DN40" s="547"/>
      <c r="DO40" s="547"/>
      <c r="DP40" s="547"/>
      <c r="DQ40" s="547"/>
      <c r="DR40" s="581"/>
      <c r="DS40" s="552"/>
      <c r="DT40" s="552"/>
      <c r="DU40" s="552"/>
      <c r="DV40" s="552"/>
      <c r="DW40" s="552"/>
      <c r="DX40" s="552"/>
      <c r="DY40" s="552"/>
      <c r="DZ40" s="552"/>
      <c r="EA40" s="552"/>
      <c r="EB40" s="552"/>
      <c r="EC40" s="552"/>
      <c r="ED40" s="552"/>
      <c r="EE40" s="552"/>
      <c r="EF40" s="552"/>
      <c r="EG40" s="552"/>
      <c r="EH40" s="552"/>
      <c r="EI40" s="552"/>
      <c r="EJ40" s="551">
        <f t="shared" si="0"/>
        <v>1107668999</v>
      </c>
      <c r="EK40" s="551">
        <f t="shared" si="1"/>
        <v>0</v>
      </c>
      <c r="EL40" s="551">
        <f t="shared" si="2"/>
        <v>0</v>
      </c>
      <c r="EM40" s="551">
        <f t="shared" si="3"/>
        <v>1107668999</v>
      </c>
      <c r="EN40" s="551">
        <f t="shared" si="4"/>
        <v>0</v>
      </c>
      <c r="EO40" s="500">
        <f t="shared" si="5"/>
        <v>1107668999</v>
      </c>
      <c r="EP40" s="500">
        <f t="shared" si="50"/>
        <v>0</v>
      </c>
    </row>
    <row r="41" spans="1:146" s="511" customFormat="1" ht="21.75" customHeight="1">
      <c r="A41" s="496" t="s">
        <v>341</v>
      </c>
      <c r="B41" s="510" t="s">
        <v>714</v>
      </c>
      <c r="C41" s="507"/>
      <c r="D41" s="547"/>
      <c r="E41" s="547"/>
      <c r="F41" s="547"/>
      <c r="G41" s="547"/>
      <c r="H41" s="547"/>
      <c r="I41" s="547"/>
      <c r="J41" s="552"/>
      <c r="K41" s="552"/>
      <c r="L41" s="552"/>
      <c r="M41" s="552"/>
      <c r="N41" s="552">
        <f>581171823+56570330+451043499</f>
        <v>1088785652</v>
      </c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2"/>
      <c r="CK41" s="552"/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2"/>
      <c r="CZ41" s="552"/>
      <c r="DA41" s="552"/>
      <c r="DB41" s="552"/>
      <c r="DC41" s="674"/>
      <c r="DD41" s="552"/>
      <c r="DE41" s="552"/>
      <c r="DF41" s="552"/>
      <c r="DG41" s="547"/>
      <c r="DH41" s="547"/>
      <c r="DI41" s="547"/>
      <c r="DJ41" s="547"/>
      <c r="DK41" s="547"/>
      <c r="DL41" s="547"/>
      <c r="DM41" s="547"/>
      <c r="DN41" s="547"/>
      <c r="DO41" s="547"/>
      <c r="DP41" s="547"/>
      <c r="DQ41" s="547"/>
      <c r="DR41" s="581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2"/>
      <c r="EG41" s="552"/>
      <c r="EH41" s="552"/>
      <c r="EI41" s="552"/>
      <c r="EJ41" s="551">
        <f t="shared" si="0"/>
        <v>1088785652</v>
      </c>
      <c r="EK41" s="551">
        <f t="shared" si="1"/>
        <v>0</v>
      </c>
      <c r="EL41" s="551">
        <f t="shared" si="2"/>
        <v>0</v>
      </c>
      <c r="EM41" s="551">
        <f>+EJ41+EK41+EL41</f>
        <v>1088785652</v>
      </c>
      <c r="EN41" s="551">
        <f t="shared" si="4"/>
        <v>0</v>
      </c>
      <c r="EO41" s="500">
        <f t="shared" si="5"/>
        <v>1088785652</v>
      </c>
      <c r="EP41" s="500">
        <f t="shared" si="50"/>
        <v>0</v>
      </c>
    </row>
    <row r="42" spans="1:146" s="511" customFormat="1" ht="21.75" customHeight="1">
      <c r="A42" s="496" t="s">
        <v>342</v>
      </c>
      <c r="B42" s="510" t="s">
        <v>715</v>
      </c>
      <c r="C42" s="507"/>
      <c r="D42" s="547"/>
      <c r="E42" s="547"/>
      <c r="F42" s="547"/>
      <c r="G42" s="547"/>
      <c r="H42" s="547"/>
      <c r="I42" s="547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2"/>
      <c r="CD42" s="552"/>
      <c r="CE42" s="552"/>
      <c r="CF42" s="552"/>
      <c r="CG42" s="552"/>
      <c r="CH42" s="552"/>
      <c r="CI42" s="552"/>
      <c r="CJ42" s="552"/>
      <c r="CK42" s="552"/>
      <c r="CL42" s="552"/>
      <c r="CM42" s="552"/>
      <c r="CN42" s="552"/>
      <c r="CO42" s="552"/>
      <c r="CP42" s="552"/>
      <c r="CQ42" s="552"/>
      <c r="CR42" s="552"/>
      <c r="CS42" s="552"/>
      <c r="CT42" s="552"/>
      <c r="CU42" s="552"/>
      <c r="CV42" s="552"/>
      <c r="CW42" s="552"/>
      <c r="CX42" s="552"/>
      <c r="CY42" s="552"/>
      <c r="CZ42" s="552"/>
      <c r="DA42" s="552"/>
      <c r="DB42" s="552"/>
      <c r="DC42" s="674"/>
      <c r="DD42" s="552"/>
      <c r="DE42" s="552"/>
      <c r="DF42" s="552"/>
      <c r="DG42" s="547"/>
      <c r="DH42" s="547"/>
      <c r="DI42" s="547"/>
      <c r="DJ42" s="547"/>
      <c r="DK42" s="547"/>
      <c r="DL42" s="547"/>
      <c r="DM42" s="547"/>
      <c r="DN42" s="547"/>
      <c r="DO42" s="547"/>
      <c r="DP42" s="547"/>
      <c r="DQ42" s="547"/>
      <c r="DR42" s="581"/>
      <c r="DS42" s="552"/>
      <c r="DT42" s="552"/>
      <c r="DU42" s="552"/>
      <c r="DV42" s="552"/>
      <c r="DW42" s="552"/>
      <c r="DX42" s="552"/>
      <c r="DY42" s="552"/>
      <c r="DZ42" s="552"/>
      <c r="EA42" s="552"/>
      <c r="EB42" s="552"/>
      <c r="EC42" s="552"/>
      <c r="ED42" s="552"/>
      <c r="EE42" s="552"/>
      <c r="EF42" s="552"/>
      <c r="EG42" s="552"/>
      <c r="EH42" s="552"/>
      <c r="EI42" s="552"/>
      <c r="EJ42" s="551">
        <f t="shared" si="0"/>
        <v>0</v>
      </c>
      <c r="EK42" s="551">
        <f t="shared" si="1"/>
        <v>0</v>
      </c>
      <c r="EL42" s="551">
        <f t="shared" si="2"/>
        <v>0</v>
      </c>
      <c r="EM42" s="551">
        <f aca="true" t="shared" si="51" ref="EM42:EM50">+EJ42+EK42+EL42</f>
        <v>0</v>
      </c>
      <c r="EN42" s="551">
        <f t="shared" si="4"/>
        <v>0</v>
      </c>
      <c r="EO42" s="500">
        <f t="shared" si="5"/>
        <v>0</v>
      </c>
      <c r="EP42" s="500">
        <f t="shared" si="50"/>
        <v>0</v>
      </c>
    </row>
    <row r="43" spans="1:146" s="511" customFormat="1" ht="21.75" customHeight="1">
      <c r="A43" s="496" t="s">
        <v>343</v>
      </c>
      <c r="B43" s="510" t="s">
        <v>716</v>
      </c>
      <c r="C43" s="507"/>
      <c r="D43" s="547"/>
      <c r="E43" s="547"/>
      <c r="F43" s="547"/>
      <c r="G43" s="547"/>
      <c r="H43" s="547"/>
      <c r="I43" s="547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2"/>
      <c r="CP43" s="552"/>
      <c r="CQ43" s="552"/>
      <c r="CR43" s="552"/>
      <c r="CS43" s="552"/>
      <c r="CT43" s="552"/>
      <c r="CU43" s="552"/>
      <c r="CV43" s="552"/>
      <c r="CW43" s="552"/>
      <c r="CX43" s="552"/>
      <c r="CY43" s="552"/>
      <c r="CZ43" s="552"/>
      <c r="DA43" s="552"/>
      <c r="DB43" s="552"/>
      <c r="DC43" s="674"/>
      <c r="DD43" s="552"/>
      <c r="DE43" s="552"/>
      <c r="DF43" s="552"/>
      <c r="DG43" s="547"/>
      <c r="DH43" s="547"/>
      <c r="DI43" s="547"/>
      <c r="DJ43" s="547"/>
      <c r="DK43" s="547"/>
      <c r="DL43" s="547"/>
      <c r="DM43" s="547"/>
      <c r="DN43" s="547"/>
      <c r="DO43" s="547"/>
      <c r="DP43" s="547"/>
      <c r="DQ43" s="547"/>
      <c r="DR43" s="581"/>
      <c r="DS43" s="552"/>
      <c r="DT43" s="552"/>
      <c r="DU43" s="552"/>
      <c r="DV43" s="552"/>
      <c r="DW43" s="552"/>
      <c r="DX43" s="552"/>
      <c r="DY43" s="552"/>
      <c r="DZ43" s="552"/>
      <c r="EA43" s="552"/>
      <c r="EB43" s="552"/>
      <c r="EC43" s="552"/>
      <c r="ED43" s="552"/>
      <c r="EE43" s="552"/>
      <c r="EF43" s="552"/>
      <c r="EG43" s="552"/>
      <c r="EH43" s="552"/>
      <c r="EI43" s="552"/>
      <c r="EJ43" s="551">
        <f t="shared" si="0"/>
        <v>0</v>
      </c>
      <c r="EK43" s="551">
        <f t="shared" si="1"/>
        <v>0</v>
      </c>
      <c r="EL43" s="551">
        <f t="shared" si="2"/>
        <v>0</v>
      </c>
      <c r="EM43" s="551">
        <f t="shared" si="51"/>
        <v>0</v>
      </c>
      <c r="EN43" s="551">
        <f t="shared" si="4"/>
        <v>0</v>
      </c>
      <c r="EO43" s="500">
        <f t="shared" si="5"/>
        <v>0</v>
      </c>
      <c r="EP43" s="500">
        <f t="shared" si="50"/>
        <v>0</v>
      </c>
    </row>
    <row r="44" spans="1:146" s="511" customFormat="1" ht="21.75" customHeight="1">
      <c r="A44" s="496" t="s">
        <v>344</v>
      </c>
      <c r="B44" s="510" t="s">
        <v>769</v>
      </c>
      <c r="C44" s="507"/>
      <c r="D44" s="547"/>
      <c r="E44" s="547"/>
      <c r="F44" s="547"/>
      <c r="G44" s="547"/>
      <c r="H44" s="547"/>
      <c r="I44" s="547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2"/>
      <c r="CP44" s="552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2"/>
      <c r="DB44" s="552"/>
      <c r="DC44" s="674"/>
      <c r="DD44" s="552"/>
      <c r="DE44" s="552"/>
      <c r="DF44" s="552"/>
      <c r="DG44" s="547"/>
      <c r="DH44" s="547"/>
      <c r="DI44" s="547"/>
      <c r="DJ44" s="547"/>
      <c r="DK44" s="547"/>
      <c r="DL44" s="547"/>
      <c r="DM44" s="547"/>
      <c r="DN44" s="547"/>
      <c r="DO44" s="547"/>
      <c r="DP44" s="547"/>
      <c r="DQ44" s="547"/>
      <c r="DR44" s="581"/>
      <c r="DS44" s="552"/>
      <c r="DT44" s="552"/>
      <c r="DU44" s="552"/>
      <c r="DV44" s="552"/>
      <c r="DW44" s="552"/>
      <c r="DX44" s="552"/>
      <c r="DY44" s="552"/>
      <c r="DZ44" s="552"/>
      <c r="EA44" s="552"/>
      <c r="EB44" s="552"/>
      <c r="EC44" s="552"/>
      <c r="ED44" s="552"/>
      <c r="EE44" s="552"/>
      <c r="EF44" s="552"/>
      <c r="EG44" s="552"/>
      <c r="EH44" s="552"/>
      <c r="EI44" s="552"/>
      <c r="EJ44" s="551">
        <f t="shared" si="0"/>
        <v>0</v>
      </c>
      <c r="EK44" s="551">
        <f t="shared" si="1"/>
        <v>0</v>
      </c>
      <c r="EL44" s="551">
        <f t="shared" si="2"/>
        <v>0</v>
      </c>
      <c r="EM44" s="551">
        <f t="shared" si="51"/>
        <v>0</v>
      </c>
      <c r="EN44" s="551">
        <f t="shared" si="4"/>
        <v>0</v>
      </c>
      <c r="EO44" s="500">
        <f t="shared" si="5"/>
        <v>0</v>
      </c>
      <c r="EP44" s="500">
        <f t="shared" si="50"/>
        <v>0</v>
      </c>
    </row>
    <row r="45" spans="1:146" s="511" customFormat="1" ht="21.75" customHeight="1">
      <c r="A45" s="496" t="s">
        <v>345</v>
      </c>
      <c r="B45" s="510" t="s">
        <v>1409</v>
      </c>
      <c r="C45" s="507"/>
      <c r="D45" s="547"/>
      <c r="E45" s="547"/>
      <c r="F45" s="547"/>
      <c r="G45" s="547"/>
      <c r="H45" s="547"/>
      <c r="I45" s="547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2"/>
      <c r="DB45" s="552"/>
      <c r="DC45" s="674"/>
      <c r="DD45" s="552"/>
      <c r="DE45" s="552"/>
      <c r="DF45" s="552"/>
      <c r="DG45" s="547"/>
      <c r="DH45" s="547"/>
      <c r="DI45" s="547"/>
      <c r="DJ45" s="547"/>
      <c r="DK45" s="547"/>
      <c r="DL45" s="547"/>
      <c r="DM45" s="547"/>
      <c r="DN45" s="547"/>
      <c r="DO45" s="547"/>
      <c r="DP45" s="547"/>
      <c r="DQ45" s="547"/>
      <c r="DR45" s="581"/>
      <c r="DS45" s="552"/>
      <c r="DT45" s="552"/>
      <c r="DU45" s="552"/>
      <c r="DV45" s="552"/>
      <c r="DW45" s="552"/>
      <c r="DX45" s="552"/>
      <c r="DY45" s="552"/>
      <c r="DZ45" s="552"/>
      <c r="EA45" s="552">
        <v>1500000000</v>
      </c>
      <c r="EB45" s="552"/>
      <c r="EC45" s="552"/>
      <c r="ED45" s="552"/>
      <c r="EE45" s="552"/>
      <c r="EF45" s="552"/>
      <c r="EG45" s="552"/>
      <c r="EH45" s="552"/>
      <c r="EI45" s="552"/>
      <c r="EJ45" s="551">
        <f>SUMIF($D$4:$EI$4,"kötelező",D45:EI45)</f>
        <v>0</v>
      </c>
      <c r="EK45" s="551">
        <f>SUMIF($D$4:$EI$4,"önként vállalt",D45:EI45)</f>
        <v>1500000000</v>
      </c>
      <c r="EL45" s="551">
        <f>SUMIF($D$4:$EI$4,"államigazgatási",D45:EI45)</f>
        <v>0</v>
      </c>
      <c r="EM45" s="551">
        <f>+EJ45+EK45+EL45</f>
        <v>1500000000</v>
      </c>
      <c r="EN45" s="551">
        <f>CV45+CO45</f>
        <v>0</v>
      </c>
      <c r="EO45" s="500"/>
      <c r="EP45" s="500"/>
    </row>
    <row r="46" spans="1:146" s="503" customFormat="1" ht="21.75" customHeight="1">
      <c r="A46" s="496" t="s">
        <v>346</v>
      </c>
      <c r="B46" s="512" t="s">
        <v>145</v>
      </c>
      <c r="C46" s="498"/>
      <c r="D46" s="523">
        <f>+D30+D32+D33+D35+D40+D42+D45</f>
        <v>0</v>
      </c>
      <c r="E46" s="523">
        <f aca="true" t="shared" si="52" ref="E46:BP46">+E30+E32+E33+E35+E40+E42+E45</f>
        <v>0</v>
      </c>
      <c r="F46" s="523">
        <f t="shared" si="52"/>
        <v>0</v>
      </c>
      <c r="G46" s="523">
        <f t="shared" si="52"/>
        <v>0</v>
      </c>
      <c r="H46" s="523">
        <f t="shared" si="52"/>
        <v>0</v>
      </c>
      <c r="I46" s="523">
        <f t="shared" si="52"/>
        <v>0</v>
      </c>
      <c r="J46" s="523">
        <f t="shared" si="52"/>
        <v>0</v>
      </c>
      <c r="K46" s="523">
        <f t="shared" si="52"/>
        <v>0</v>
      </c>
      <c r="L46" s="523">
        <f t="shared" si="52"/>
        <v>0</v>
      </c>
      <c r="M46" s="523">
        <f t="shared" si="52"/>
        <v>0</v>
      </c>
      <c r="N46" s="523">
        <f t="shared" si="52"/>
        <v>1107668999</v>
      </c>
      <c r="O46" s="523">
        <f t="shared" si="52"/>
        <v>0</v>
      </c>
      <c r="P46" s="523">
        <f t="shared" si="52"/>
        <v>0</v>
      </c>
      <c r="Q46" s="523">
        <f t="shared" si="52"/>
        <v>0</v>
      </c>
      <c r="R46" s="523">
        <f t="shared" si="52"/>
        <v>0</v>
      </c>
      <c r="S46" s="523">
        <f t="shared" si="52"/>
        <v>0</v>
      </c>
      <c r="T46" s="523">
        <f t="shared" si="52"/>
        <v>0</v>
      </c>
      <c r="U46" s="523">
        <f t="shared" si="52"/>
        <v>0</v>
      </c>
      <c r="V46" s="523">
        <f t="shared" si="52"/>
        <v>0</v>
      </c>
      <c r="W46" s="523">
        <f t="shared" si="52"/>
        <v>0</v>
      </c>
      <c r="X46" s="523">
        <f t="shared" si="52"/>
        <v>0</v>
      </c>
      <c r="Y46" s="523">
        <f t="shared" si="52"/>
        <v>0</v>
      </c>
      <c r="Z46" s="523">
        <f t="shared" si="52"/>
        <v>0</v>
      </c>
      <c r="AA46" s="523">
        <f t="shared" si="52"/>
        <v>0</v>
      </c>
      <c r="AB46" s="523">
        <f t="shared" si="52"/>
        <v>9040000</v>
      </c>
      <c r="AC46" s="523">
        <f t="shared" si="52"/>
        <v>0</v>
      </c>
      <c r="AD46" s="523">
        <f t="shared" si="52"/>
        <v>0</v>
      </c>
      <c r="AE46" s="523">
        <f t="shared" si="52"/>
        <v>0</v>
      </c>
      <c r="AF46" s="523">
        <f t="shared" si="52"/>
        <v>0</v>
      </c>
      <c r="AG46" s="523">
        <f t="shared" si="52"/>
        <v>0</v>
      </c>
      <c r="AH46" s="523">
        <f t="shared" si="52"/>
        <v>0</v>
      </c>
      <c r="AI46" s="523">
        <f t="shared" si="52"/>
        <v>0</v>
      </c>
      <c r="AJ46" s="523">
        <f t="shared" si="52"/>
        <v>0</v>
      </c>
      <c r="AK46" s="523">
        <f t="shared" si="52"/>
        <v>35500000</v>
      </c>
      <c r="AL46" s="523">
        <f t="shared" si="52"/>
        <v>1960000</v>
      </c>
      <c r="AM46" s="523">
        <f t="shared" si="52"/>
        <v>279100</v>
      </c>
      <c r="AN46" s="523">
        <f t="shared" si="52"/>
        <v>0</v>
      </c>
      <c r="AO46" s="523">
        <f t="shared" si="52"/>
        <v>0</v>
      </c>
      <c r="AP46" s="523">
        <f t="shared" si="52"/>
        <v>0</v>
      </c>
      <c r="AQ46" s="523">
        <f t="shared" si="52"/>
        <v>0</v>
      </c>
      <c r="AR46" s="523">
        <f t="shared" si="52"/>
        <v>0</v>
      </c>
      <c r="AS46" s="523">
        <f t="shared" si="52"/>
        <v>0</v>
      </c>
      <c r="AT46" s="523">
        <f t="shared" si="52"/>
        <v>10432495</v>
      </c>
      <c r="AU46" s="523">
        <f t="shared" si="52"/>
        <v>979980</v>
      </c>
      <c r="AV46" s="523">
        <f t="shared" si="52"/>
        <v>3810000</v>
      </c>
      <c r="AW46" s="523">
        <f t="shared" si="52"/>
        <v>28550000</v>
      </c>
      <c r="AX46" s="523">
        <f t="shared" si="52"/>
        <v>0</v>
      </c>
      <c r="AY46" s="523">
        <f t="shared" si="52"/>
        <v>0</v>
      </c>
      <c r="AZ46" s="523">
        <f t="shared" si="52"/>
        <v>0</v>
      </c>
      <c r="BA46" s="523">
        <f t="shared" si="52"/>
        <v>0</v>
      </c>
      <c r="BB46" s="523">
        <f t="shared" si="52"/>
        <v>8600000</v>
      </c>
      <c r="BC46" s="523">
        <f t="shared" si="52"/>
        <v>0</v>
      </c>
      <c r="BD46" s="523">
        <f t="shared" si="52"/>
        <v>0</v>
      </c>
      <c r="BE46" s="523">
        <f t="shared" si="52"/>
        <v>0</v>
      </c>
      <c r="BF46" s="523">
        <f t="shared" si="52"/>
        <v>0</v>
      </c>
      <c r="BG46" s="523">
        <f t="shared" si="52"/>
        <v>0</v>
      </c>
      <c r="BH46" s="523">
        <f t="shared" si="52"/>
        <v>0</v>
      </c>
      <c r="BI46" s="523">
        <f t="shared" si="52"/>
        <v>82628999</v>
      </c>
      <c r="BJ46" s="523">
        <f t="shared" si="52"/>
        <v>0</v>
      </c>
      <c r="BK46" s="523">
        <f t="shared" si="52"/>
        <v>47371000</v>
      </c>
      <c r="BL46" s="523">
        <f t="shared" si="52"/>
        <v>0</v>
      </c>
      <c r="BM46" s="523">
        <f t="shared" si="52"/>
        <v>0</v>
      </c>
      <c r="BN46" s="523">
        <f t="shared" si="52"/>
        <v>0</v>
      </c>
      <c r="BO46" s="523">
        <f t="shared" si="52"/>
        <v>0</v>
      </c>
      <c r="BP46" s="523">
        <f t="shared" si="52"/>
        <v>0</v>
      </c>
      <c r="BQ46" s="523">
        <f aca="true" t="shared" si="53" ref="BQ46:EC46">+BQ30+BQ32+BQ33+BQ35+BQ40+BQ42+BQ45</f>
        <v>0</v>
      </c>
      <c r="BR46" s="523">
        <f t="shared" si="53"/>
        <v>0</v>
      </c>
      <c r="BS46" s="523">
        <f t="shared" si="53"/>
        <v>0</v>
      </c>
      <c r="BT46" s="523">
        <f t="shared" si="53"/>
        <v>0</v>
      </c>
      <c r="BU46" s="523">
        <f t="shared" si="53"/>
        <v>0</v>
      </c>
      <c r="BV46" s="523">
        <f t="shared" si="53"/>
        <v>0</v>
      </c>
      <c r="BW46" s="523">
        <f t="shared" si="53"/>
        <v>0</v>
      </c>
      <c r="BX46" s="523">
        <f t="shared" si="53"/>
        <v>0</v>
      </c>
      <c r="BY46" s="523">
        <f t="shared" si="53"/>
        <v>0</v>
      </c>
      <c r="BZ46" s="523">
        <f t="shared" si="53"/>
        <v>0</v>
      </c>
      <c r="CA46" s="523">
        <f t="shared" si="53"/>
        <v>228600</v>
      </c>
      <c r="CB46" s="523">
        <f t="shared" si="53"/>
        <v>0</v>
      </c>
      <c r="CC46" s="523">
        <f t="shared" si="53"/>
        <v>0</v>
      </c>
      <c r="CD46" s="523">
        <f t="shared" si="53"/>
        <v>3048840</v>
      </c>
      <c r="CE46" s="523">
        <f t="shared" si="53"/>
        <v>0</v>
      </c>
      <c r="CF46" s="523">
        <f t="shared" si="53"/>
        <v>0</v>
      </c>
      <c r="CG46" s="523">
        <f t="shared" si="53"/>
        <v>0</v>
      </c>
      <c r="CH46" s="523">
        <f t="shared" si="53"/>
        <v>0</v>
      </c>
      <c r="CI46" s="523">
        <f t="shared" si="53"/>
        <v>0</v>
      </c>
      <c r="CJ46" s="523">
        <f t="shared" si="53"/>
        <v>0</v>
      </c>
      <c r="CK46" s="523">
        <f t="shared" si="53"/>
        <v>0</v>
      </c>
      <c r="CL46" s="523">
        <f t="shared" si="53"/>
        <v>0</v>
      </c>
      <c r="CM46" s="523">
        <f t="shared" si="53"/>
        <v>0</v>
      </c>
      <c r="CN46" s="523">
        <f t="shared" si="53"/>
        <v>0</v>
      </c>
      <c r="CO46" s="523">
        <f t="shared" si="53"/>
        <v>0</v>
      </c>
      <c r="CP46" s="523">
        <f t="shared" si="53"/>
        <v>0</v>
      </c>
      <c r="CQ46" s="523">
        <f t="shared" si="53"/>
        <v>0</v>
      </c>
      <c r="CR46" s="523">
        <f t="shared" si="53"/>
        <v>0</v>
      </c>
      <c r="CS46" s="523">
        <f t="shared" si="53"/>
        <v>0</v>
      </c>
      <c r="CT46" s="523">
        <f t="shared" si="53"/>
        <v>0</v>
      </c>
      <c r="CU46" s="523">
        <f t="shared" si="53"/>
        <v>0</v>
      </c>
      <c r="CV46" s="523">
        <f t="shared" si="53"/>
        <v>0</v>
      </c>
      <c r="CW46" s="523">
        <f t="shared" si="53"/>
        <v>0</v>
      </c>
      <c r="CX46" s="523">
        <f t="shared" si="53"/>
        <v>0</v>
      </c>
      <c r="CY46" s="523">
        <f t="shared" si="53"/>
        <v>0</v>
      </c>
      <c r="CZ46" s="523">
        <f t="shared" si="53"/>
        <v>0</v>
      </c>
      <c r="DA46" s="523">
        <f t="shared" si="53"/>
        <v>0</v>
      </c>
      <c r="DB46" s="523">
        <f t="shared" si="53"/>
        <v>0</v>
      </c>
      <c r="DC46" s="523">
        <f t="shared" si="53"/>
        <v>0</v>
      </c>
      <c r="DD46" s="523">
        <f t="shared" si="53"/>
        <v>0</v>
      </c>
      <c r="DE46" s="523">
        <f t="shared" si="53"/>
        <v>0</v>
      </c>
      <c r="DF46" s="523">
        <f t="shared" si="53"/>
        <v>0</v>
      </c>
      <c r="DG46" s="523">
        <f t="shared" si="53"/>
        <v>0</v>
      </c>
      <c r="DH46" s="523">
        <f t="shared" si="53"/>
        <v>0</v>
      </c>
      <c r="DI46" s="523">
        <f t="shared" si="53"/>
        <v>0</v>
      </c>
      <c r="DJ46" s="523">
        <f t="shared" si="53"/>
        <v>0</v>
      </c>
      <c r="DK46" s="523">
        <f t="shared" si="53"/>
        <v>0</v>
      </c>
      <c r="DL46" s="523">
        <f t="shared" si="53"/>
        <v>0</v>
      </c>
      <c r="DM46" s="523">
        <f t="shared" si="53"/>
        <v>0</v>
      </c>
      <c r="DN46" s="523">
        <f t="shared" si="53"/>
        <v>0</v>
      </c>
      <c r="DO46" s="523">
        <f t="shared" si="53"/>
        <v>0</v>
      </c>
      <c r="DP46" s="523">
        <f t="shared" si="53"/>
        <v>0</v>
      </c>
      <c r="DQ46" s="523">
        <f t="shared" si="53"/>
        <v>0</v>
      </c>
      <c r="DR46" s="523">
        <f t="shared" si="53"/>
        <v>0</v>
      </c>
      <c r="DS46" s="523">
        <f t="shared" si="53"/>
        <v>0</v>
      </c>
      <c r="DT46" s="523">
        <f t="shared" si="53"/>
        <v>0</v>
      </c>
      <c r="DU46" s="523">
        <f t="shared" si="53"/>
        <v>0</v>
      </c>
      <c r="DV46" s="523">
        <f t="shared" si="53"/>
        <v>0</v>
      </c>
      <c r="DW46" s="523">
        <f t="shared" si="53"/>
        <v>1896984</v>
      </c>
      <c r="DX46" s="523" t="s">
        <v>1491</v>
      </c>
      <c r="DY46" s="523">
        <f>+DY30+DY32+DY33+DY35+DY40+DY42+DY45</f>
        <v>0</v>
      </c>
      <c r="DZ46" s="523">
        <f t="shared" si="53"/>
        <v>0</v>
      </c>
      <c r="EA46" s="523">
        <f t="shared" si="53"/>
        <v>1500000000</v>
      </c>
      <c r="EB46" s="523">
        <f t="shared" si="53"/>
        <v>510000000</v>
      </c>
      <c r="EC46" s="523">
        <f t="shared" si="53"/>
        <v>135000000</v>
      </c>
      <c r="ED46" s="523">
        <f aca="true" t="shared" si="54" ref="ED46:EI46">+ED30+ED32+ED33+ED35+ED40+ED42+ED45</f>
        <v>22200000</v>
      </c>
      <c r="EE46" s="523">
        <f t="shared" si="54"/>
        <v>160000</v>
      </c>
      <c r="EF46" s="523">
        <f t="shared" si="54"/>
        <v>2950000000</v>
      </c>
      <c r="EG46" s="523">
        <f t="shared" si="54"/>
        <v>95000000</v>
      </c>
      <c r="EH46" s="523">
        <f t="shared" si="54"/>
        <v>816739160</v>
      </c>
      <c r="EI46" s="523">
        <f t="shared" si="54"/>
        <v>105831926</v>
      </c>
      <c r="EJ46" s="548">
        <f t="shared" si="0"/>
        <v>5939547483</v>
      </c>
      <c r="EK46" s="548">
        <f t="shared" si="1"/>
        <v>1537378600</v>
      </c>
      <c r="EL46" s="548">
        <f t="shared" si="2"/>
        <v>0</v>
      </c>
      <c r="EM46" s="548">
        <f>+EJ46+EK46+EL46</f>
        <v>7476926083</v>
      </c>
      <c r="EN46" s="551">
        <f t="shared" si="4"/>
        <v>0</v>
      </c>
      <c r="EO46" s="500">
        <f t="shared" si="5"/>
        <v>7476926083</v>
      </c>
      <c r="EP46" s="500">
        <f t="shared" si="50"/>
        <v>0</v>
      </c>
    </row>
    <row r="47" spans="1:146" s="503" customFormat="1" ht="21.75" customHeight="1">
      <c r="A47" s="496" t="s">
        <v>347</v>
      </c>
      <c r="B47" s="512" t="s">
        <v>146</v>
      </c>
      <c r="C47" s="498"/>
      <c r="D47" s="523">
        <f>+D31+D34+D36+D41+D43+D44</f>
        <v>0</v>
      </c>
      <c r="E47" s="523">
        <f aca="true" t="shared" si="55" ref="E47:BP47">+E31+E34+E36+E41+E43+E44</f>
        <v>0</v>
      </c>
      <c r="F47" s="523">
        <f t="shared" si="55"/>
        <v>0</v>
      </c>
      <c r="G47" s="523">
        <f t="shared" si="55"/>
        <v>0</v>
      </c>
      <c r="H47" s="523">
        <f t="shared" si="55"/>
        <v>0</v>
      </c>
      <c r="I47" s="523">
        <f t="shared" si="55"/>
        <v>0</v>
      </c>
      <c r="J47" s="523">
        <f t="shared" si="55"/>
        <v>0</v>
      </c>
      <c r="K47" s="523">
        <f t="shared" si="55"/>
        <v>0</v>
      </c>
      <c r="L47" s="523">
        <f t="shared" si="55"/>
        <v>601200</v>
      </c>
      <c r="M47" s="523">
        <f t="shared" si="55"/>
        <v>60000000</v>
      </c>
      <c r="N47" s="523">
        <f t="shared" si="55"/>
        <v>1088785652</v>
      </c>
      <c r="O47" s="523">
        <f t="shared" si="55"/>
        <v>0</v>
      </c>
      <c r="P47" s="523">
        <f t="shared" si="55"/>
        <v>0</v>
      </c>
      <c r="Q47" s="523">
        <f t="shared" si="55"/>
        <v>0</v>
      </c>
      <c r="R47" s="523">
        <f t="shared" si="55"/>
        <v>0</v>
      </c>
      <c r="S47" s="523">
        <f t="shared" si="55"/>
        <v>0</v>
      </c>
      <c r="T47" s="523">
        <f t="shared" si="55"/>
        <v>0</v>
      </c>
      <c r="U47" s="523">
        <f t="shared" si="55"/>
        <v>0</v>
      </c>
      <c r="V47" s="523">
        <f t="shared" si="55"/>
        <v>0</v>
      </c>
      <c r="W47" s="523">
        <f t="shared" si="55"/>
        <v>0</v>
      </c>
      <c r="X47" s="523">
        <f t="shared" si="55"/>
        <v>0</v>
      </c>
      <c r="Y47" s="523">
        <f t="shared" si="55"/>
        <v>0</v>
      </c>
      <c r="Z47" s="523">
        <f t="shared" si="55"/>
        <v>0</v>
      </c>
      <c r="AA47" s="523">
        <f t="shared" si="55"/>
        <v>0</v>
      </c>
      <c r="AB47" s="523">
        <f t="shared" si="55"/>
        <v>0</v>
      </c>
      <c r="AC47" s="523">
        <f t="shared" si="55"/>
        <v>0</v>
      </c>
      <c r="AD47" s="523">
        <f t="shared" si="55"/>
        <v>0</v>
      </c>
      <c r="AE47" s="523">
        <f t="shared" si="55"/>
        <v>0</v>
      </c>
      <c r="AF47" s="523">
        <f t="shared" si="55"/>
        <v>40000000</v>
      </c>
      <c r="AG47" s="523">
        <f t="shared" si="55"/>
        <v>0</v>
      </c>
      <c r="AH47" s="523">
        <f t="shared" si="55"/>
        <v>0</v>
      </c>
      <c r="AI47" s="523">
        <f t="shared" si="55"/>
        <v>0</v>
      </c>
      <c r="AJ47" s="523">
        <f t="shared" si="55"/>
        <v>0</v>
      </c>
      <c r="AK47" s="523">
        <f t="shared" si="55"/>
        <v>0</v>
      </c>
      <c r="AL47" s="523">
        <f t="shared" si="55"/>
        <v>0</v>
      </c>
      <c r="AM47" s="523">
        <f t="shared" si="55"/>
        <v>0</v>
      </c>
      <c r="AN47" s="523">
        <f t="shared" si="55"/>
        <v>0</v>
      </c>
      <c r="AO47" s="523">
        <f t="shared" si="55"/>
        <v>0</v>
      </c>
      <c r="AP47" s="523">
        <f t="shared" si="55"/>
        <v>0</v>
      </c>
      <c r="AQ47" s="523">
        <f t="shared" si="55"/>
        <v>0</v>
      </c>
      <c r="AR47" s="523">
        <f t="shared" si="55"/>
        <v>0</v>
      </c>
      <c r="AS47" s="523">
        <f t="shared" si="55"/>
        <v>0</v>
      </c>
      <c r="AT47" s="523">
        <f t="shared" si="55"/>
        <v>0</v>
      </c>
      <c r="AU47" s="523">
        <f t="shared" si="55"/>
        <v>0</v>
      </c>
      <c r="AV47" s="523">
        <f t="shared" si="55"/>
        <v>0</v>
      </c>
      <c r="AW47" s="523">
        <f t="shared" si="55"/>
        <v>0</v>
      </c>
      <c r="AX47" s="523">
        <f t="shared" si="55"/>
        <v>0</v>
      </c>
      <c r="AY47" s="523">
        <f t="shared" si="55"/>
        <v>0</v>
      </c>
      <c r="AZ47" s="523">
        <f t="shared" si="55"/>
        <v>0</v>
      </c>
      <c r="BA47" s="523">
        <f t="shared" si="55"/>
        <v>0</v>
      </c>
      <c r="BB47" s="523">
        <f t="shared" si="55"/>
        <v>0</v>
      </c>
      <c r="BC47" s="523">
        <f t="shared" si="55"/>
        <v>0</v>
      </c>
      <c r="BD47" s="523">
        <f t="shared" si="55"/>
        <v>0</v>
      </c>
      <c r="BE47" s="523">
        <f t="shared" si="55"/>
        <v>0</v>
      </c>
      <c r="BF47" s="523">
        <f t="shared" si="55"/>
        <v>0</v>
      </c>
      <c r="BG47" s="523">
        <f t="shared" si="55"/>
        <v>0</v>
      </c>
      <c r="BH47" s="523">
        <f t="shared" si="55"/>
        <v>0</v>
      </c>
      <c r="BI47" s="523">
        <f t="shared" si="55"/>
        <v>0</v>
      </c>
      <c r="BJ47" s="523">
        <f t="shared" si="55"/>
        <v>0</v>
      </c>
      <c r="BK47" s="523">
        <f t="shared" si="55"/>
        <v>0</v>
      </c>
      <c r="BL47" s="523">
        <f t="shared" si="55"/>
        <v>0</v>
      </c>
      <c r="BM47" s="523">
        <f t="shared" si="55"/>
        <v>0</v>
      </c>
      <c r="BN47" s="523">
        <f t="shared" si="55"/>
        <v>0</v>
      </c>
      <c r="BO47" s="523">
        <f t="shared" si="55"/>
        <v>0</v>
      </c>
      <c r="BP47" s="523">
        <f t="shared" si="55"/>
        <v>0</v>
      </c>
      <c r="BQ47" s="523">
        <f aca="true" t="shared" si="56" ref="BQ47:EC47">+BQ31+BQ34+BQ36+BQ41+BQ43+BQ44</f>
        <v>0</v>
      </c>
      <c r="BR47" s="523">
        <f t="shared" si="56"/>
        <v>0</v>
      </c>
      <c r="BS47" s="523">
        <f t="shared" si="56"/>
        <v>0</v>
      </c>
      <c r="BT47" s="523">
        <f t="shared" si="56"/>
        <v>0</v>
      </c>
      <c r="BU47" s="523">
        <f t="shared" si="56"/>
        <v>0</v>
      </c>
      <c r="BV47" s="523">
        <f t="shared" si="56"/>
        <v>0</v>
      </c>
      <c r="BW47" s="523">
        <f t="shared" si="56"/>
        <v>0</v>
      </c>
      <c r="BX47" s="523">
        <f t="shared" si="56"/>
        <v>0</v>
      </c>
      <c r="BY47" s="523">
        <f t="shared" si="56"/>
        <v>0</v>
      </c>
      <c r="BZ47" s="523">
        <f t="shared" si="56"/>
        <v>0</v>
      </c>
      <c r="CA47" s="523">
        <f t="shared" si="56"/>
        <v>0</v>
      </c>
      <c r="CB47" s="523">
        <f t="shared" si="56"/>
        <v>0</v>
      </c>
      <c r="CC47" s="523">
        <f t="shared" si="56"/>
        <v>0</v>
      </c>
      <c r="CD47" s="523">
        <f t="shared" si="56"/>
        <v>0</v>
      </c>
      <c r="CE47" s="523">
        <f t="shared" si="56"/>
        <v>0</v>
      </c>
      <c r="CF47" s="523">
        <f t="shared" si="56"/>
        <v>0</v>
      </c>
      <c r="CG47" s="523">
        <f t="shared" si="56"/>
        <v>0</v>
      </c>
      <c r="CH47" s="523">
        <f t="shared" si="56"/>
        <v>0</v>
      </c>
      <c r="CI47" s="523">
        <f t="shared" si="56"/>
        <v>0</v>
      </c>
      <c r="CJ47" s="523">
        <f t="shared" si="56"/>
        <v>19813395</v>
      </c>
      <c r="CK47" s="523">
        <f t="shared" si="56"/>
        <v>0</v>
      </c>
      <c r="CL47" s="523">
        <f t="shared" si="56"/>
        <v>0</v>
      </c>
      <c r="CM47" s="523">
        <f t="shared" si="56"/>
        <v>162699720</v>
      </c>
      <c r="CN47" s="523">
        <f t="shared" si="56"/>
        <v>0</v>
      </c>
      <c r="CO47" s="523">
        <f t="shared" si="56"/>
        <v>0</v>
      </c>
      <c r="CP47" s="523">
        <f t="shared" si="56"/>
        <v>41808765</v>
      </c>
      <c r="CQ47" s="523">
        <f t="shared" si="56"/>
        <v>0</v>
      </c>
      <c r="CR47" s="523">
        <f t="shared" si="56"/>
        <v>73649723</v>
      </c>
      <c r="CS47" s="523">
        <f t="shared" si="56"/>
        <v>0</v>
      </c>
      <c r="CT47" s="523">
        <f t="shared" si="56"/>
        <v>93094080</v>
      </c>
      <c r="CU47" s="523">
        <f t="shared" si="56"/>
        <v>0</v>
      </c>
      <c r="CV47" s="523">
        <f t="shared" si="56"/>
        <v>0</v>
      </c>
      <c r="CW47" s="523">
        <f t="shared" si="56"/>
        <v>0</v>
      </c>
      <c r="CX47" s="523">
        <f t="shared" si="56"/>
        <v>0</v>
      </c>
      <c r="CY47" s="523">
        <f t="shared" si="56"/>
        <v>0</v>
      </c>
      <c r="CZ47" s="523">
        <f t="shared" si="56"/>
        <v>0</v>
      </c>
      <c r="DA47" s="523">
        <f t="shared" si="56"/>
        <v>0</v>
      </c>
      <c r="DB47" s="523">
        <f t="shared" si="56"/>
        <v>0</v>
      </c>
      <c r="DC47" s="523">
        <f t="shared" si="56"/>
        <v>0</v>
      </c>
      <c r="DD47" s="523">
        <f t="shared" si="56"/>
        <v>0</v>
      </c>
      <c r="DE47" s="523">
        <f t="shared" si="56"/>
        <v>0</v>
      </c>
      <c r="DF47" s="523">
        <f t="shared" si="56"/>
        <v>0</v>
      </c>
      <c r="DG47" s="523">
        <f t="shared" si="56"/>
        <v>0</v>
      </c>
      <c r="DH47" s="523">
        <f t="shared" si="56"/>
        <v>0</v>
      </c>
      <c r="DI47" s="523">
        <f t="shared" si="56"/>
        <v>0</v>
      </c>
      <c r="DJ47" s="523">
        <f t="shared" si="56"/>
        <v>0</v>
      </c>
      <c r="DK47" s="523">
        <f t="shared" si="56"/>
        <v>0</v>
      </c>
      <c r="DL47" s="523">
        <f t="shared" si="56"/>
        <v>0</v>
      </c>
      <c r="DM47" s="523">
        <f t="shared" si="56"/>
        <v>0</v>
      </c>
      <c r="DN47" s="523">
        <f t="shared" si="56"/>
        <v>0</v>
      </c>
      <c r="DO47" s="523">
        <f t="shared" si="56"/>
        <v>0</v>
      </c>
      <c r="DP47" s="523">
        <f t="shared" si="56"/>
        <v>0</v>
      </c>
      <c r="DQ47" s="523">
        <f t="shared" si="56"/>
        <v>0</v>
      </c>
      <c r="DR47" s="523">
        <f t="shared" si="56"/>
        <v>0</v>
      </c>
      <c r="DS47" s="523">
        <f t="shared" si="56"/>
        <v>0</v>
      </c>
      <c r="DT47" s="523">
        <f t="shared" si="56"/>
        <v>0</v>
      </c>
      <c r="DU47" s="523">
        <f t="shared" si="56"/>
        <v>0</v>
      </c>
      <c r="DV47" s="523">
        <f t="shared" si="56"/>
        <v>0</v>
      </c>
      <c r="DW47" s="523">
        <f t="shared" si="56"/>
        <v>0</v>
      </c>
      <c r="DX47" s="523">
        <f t="shared" si="56"/>
        <v>0</v>
      </c>
      <c r="DY47" s="523">
        <f>+DY31+DY34+DY36+DY41+DY43+DY44</f>
        <v>0</v>
      </c>
      <c r="DZ47" s="523">
        <f t="shared" si="56"/>
        <v>0</v>
      </c>
      <c r="EA47" s="523">
        <f t="shared" si="56"/>
        <v>0</v>
      </c>
      <c r="EB47" s="523">
        <f t="shared" si="56"/>
        <v>0</v>
      </c>
      <c r="EC47" s="523">
        <f t="shared" si="56"/>
        <v>0</v>
      </c>
      <c r="ED47" s="523">
        <f aca="true" t="shared" si="57" ref="ED47:EI47">+ED31+ED34+ED36+ED41+ED43+ED44</f>
        <v>0</v>
      </c>
      <c r="EE47" s="523">
        <f t="shared" si="57"/>
        <v>0</v>
      </c>
      <c r="EF47" s="523">
        <f t="shared" si="57"/>
        <v>0</v>
      </c>
      <c r="EG47" s="523">
        <f t="shared" si="57"/>
        <v>0</v>
      </c>
      <c r="EH47" s="523">
        <f t="shared" si="57"/>
        <v>0</v>
      </c>
      <c r="EI47" s="523">
        <f t="shared" si="57"/>
        <v>0</v>
      </c>
      <c r="EJ47" s="548">
        <f t="shared" si="0"/>
        <v>1519851335</v>
      </c>
      <c r="EK47" s="548">
        <f t="shared" si="1"/>
        <v>60601200</v>
      </c>
      <c r="EL47" s="548">
        <f t="shared" si="2"/>
        <v>0</v>
      </c>
      <c r="EM47" s="548">
        <f t="shared" si="51"/>
        <v>1580452535</v>
      </c>
      <c r="EN47" s="551">
        <f t="shared" si="4"/>
        <v>0</v>
      </c>
      <c r="EO47" s="500">
        <f t="shared" si="5"/>
        <v>1580452535</v>
      </c>
      <c r="EP47" s="500">
        <f t="shared" si="50"/>
        <v>0</v>
      </c>
    </row>
    <row r="48" spans="1:146" s="503" customFormat="1" ht="21.75" customHeight="1">
      <c r="A48" s="496" t="s">
        <v>348</v>
      </c>
      <c r="B48" s="512" t="s">
        <v>399</v>
      </c>
      <c r="C48" s="498"/>
      <c r="D48" s="553">
        <f>+D46+D47</f>
        <v>0</v>
      </c>
      <c r="E48" s="553">
        <f aca="true" t="shared" si="58" ref="E48:BP48">+E46+E47</f>
        <v>0</v>
      </c>
      <c r="F48" s="553">
        <f t="shared" si="58"/>
        <v>0</v>
      </c>
      <c r="G48" s="553">
        <f t="shared" si="58"/>
        <v>0</v>
      </c>
      <c r="H48" s="553">
        <f t="shared" si="58"/>
        <v>0</v>
      </c>
      <c r="I48" s="553">
        <f t="shared" si="58"/>
        <v>0</v>
      </c>
      <c r="J48" s="553">
        <f t="shared" si="58"/>
        <v>0</v>
      </c>
      <c r="K48" s="553">
        <f t="shared" si="58"/>
        <v>0</v>
      </c>
      <c r="L48" s="553">
        <f t="shared" si="58"/>
        <v>601200</v>
      </c>
      <c r="M48" s="553">
        <f t="shared" si="58"/>
        <v>60000000</v>
      </c>
      <c r="N48" s="553">
        <f t="shared" si="58"/>
        <v>2196454651</v>
      </c>
      <c r="O48" s="553">
        <f t="shared" si="58"/>
        <v>0</v>
      </c>
      <c r="P48" s="553">
        <f t="shared" si="58"/>
        <v>0</v>
      </c>
      <c r="Q48" s="553">
        <f t="shared" si="58"/>
        <v>0</v>
      </c>
      <c r="R48" s="553">
        <f t="shared" si="58"/>
        <v>0</v>
      </c>
      <c r="S48" s="553">
        <f t="shared" si="58"/>
        <v>0</v>
      </c>
      <c r="T48" s="553">
        <f t="shared" si="58"/>
        <v>0</v>
      </c>
      <c r="U48" s="553">
        <f t="shared" si="58"/>
        <v>0</v>
      </c>
      <c r="V48" s="553">
        <f t="shared" si="58"/>
        <v>0</v>
      </c>
      <c r="W48" s="553">
        <f t="shared" si="58"/>
        <v>0</v>
      </c>
      <c r="X48" s="553">
        <f t="shared" si="58"/>
        <v>0</v>
      </c>
      <c r="Y48" s="553">
        <f t="shared" si="58"/>
        <v>0</v>
      </c>
      <c r="Z48" s="553">
        <f t="shared" si="58"/>
        <v>0</v>
      </c>
      <c r="AA48" s="553">
        <f t="shared" si="58"/>
        <v>0</v>
      </c>
      <c r="AB48" s="553">
        <f t="shared" si="58"/>
        <v>9040000</v>
      </c>
      <c r="AC48" s="553">
        <f t="shared" si="58"/>
        <v>0</v>
      </c>
      <c r="AD48" s="553">
        <f t="shared" si="58"/>
        <v>0</v>
      </c>
      <c r="AE48" s="553">
        <f t="shared" si="58"/>
        <v>0</v>
      </c>
      <c r="AF48" s="553">
        <f t="shared" si="58"/>
        <v>40000000</v>
      </c>
      <c r="AG48" s="553">
        <f t="shared" si="58"/>
        <v>0</v>
      </c>
      <c r="AH48" s="553">
        <f t="shared" si="58"/>
        <v>0</v>
      </c>
      <c r="AI48" s="553">
        <f t="shared" si="58"/>
        <v>0</v>
      </c>
      <c r="AJ48" s="553">
        <f t="shared" si="58"/>
        <v>0</v>
      </c>
      <c r="AK48" s="553">
        <f t="shared" si="58"/>
        <v>35500000</v>
      </c>
      <c r="AL48" s="553">
        <f t="shared" si="58"/>
        <v>1960000</v>
      </c>
      <c r="AM48" s="553">
        <f t="shared" si="58"/>
        <v>279100</v>
      </c>
      <c r="AN48" s="553">
        <f t="shared" si="58"/>
        <v>0</v>
      </c>
      <c r="AO48" s="553">
        <f t="shared" si="58"/>
        <v>0</v>
      </c>
      <c r="AP48" s="553">
        <f t="shared" si="58"/>
        <v>0</v>
      </c>
      <c r="AQ48" s="553">
        <f t="shared" si="58"/>
        <v>0</v>
      </c>
      <c r="AR48" s="553">
        <f t="shared" si="58"/>
        <v>0</v>
      </c>
      <c r="AS48" s="553">
        <f t="shared" si="58"/>
        <v>0</v>
      </c>
      <c r="AT48" s="553">
        <f t="shared" si="58"/>
        <v>10432495</v>
      </c>
      <c r="AU48" s="553">
        <f t="shared" si="58"/>
        <v>979980</v>
      </c>
      <c r="AV48" s="553">
        <f t="shared" si="58"/>
        <v>3810000</v>
      </c>
      <c r="AW48" s="553">
        <f t="shared" si="58"/>
        <v>28550000</v>
      </c>
      <c r="AX48" s="553">
        <f t="shared" si="58"/>
        <v>0</v>
      </c>
      <c r="AY48" s="553">
        <f t="shared" si="58"/>
        <v>0</v>
      </c>
      <c r="AZ48" s="553">
        <f t="shared" si="58"/>
        <v>0</v>
      </c>
      <c r="BA48" s="553">
        <f t="shared" si="58"/>
        <v>0</v>
      </c>
      <c r="BB48" s="553">
        <f t="shared" si="58"/>
        <v>8600000</v>
      </c>
      <c r="BC48" s="553">
        <f t="shared" si="58"/>
        <v>0</v>
      </c>
      <c r="BD48" s="553">
        <f t="shared" si="58"/>
        <v>0</v>
      </c>
      <c r="BE48" s="553">
        <f t="shared" si="58"/>
        <v>0</v>
      </c>
      <c r="BF48" s="553">
        <f t="shared" si="58"/>
        <v>0</v>
      </c>
      <c r="BG48" s="553">
        <f t="shared" si="58"/>
        <v>0</v>
      </c>
      <c r="BH48" s="553">
        <f t="shared" si="58"/>
        <v>0</v>
      </c>
      <c r="BI48" s="553">
        <f t="shared" si="58"/>
        <v>82628999</v>
      </c>
      <c r="BJ48" s="553">
        <f t="shared" si="58"/>
        <v>0</v>
      </c>
      <c r="BK48" s="553">
        <f t="shared" si="58"/>
        <v>47371000</v>
      </c>
      <c r="BL48" s="553">
        <f t="shared" si="58"/>
        <v>0</v>
      </c>
      <c r="BM48" s="553">
        <f t="shared" si="58"/>
        <v>0</v>
      </c>
      <c r="BN48" s="553">
        <f t="shared" si="58"/>
        <v>0</v>
      </c>
      <c r="BO48" s="553">
        <f t="shared" si="58"/>
        <v>0</v>
      </c>
      <c r="BP48" s="553">
        <f t="shared" si="58"/>
        <v>0</v>
      </c>
      <c r="BQ48" s="553">
        <f aca="true" t="shared" si="59" ref="BQ48:EC48">+BQ46+BQ47</f>
        <v>0</v>
      </c>
      <c r="BR48" s="553">
        <f t="shared" si="59"/>
        <v>0</v>
      </c>
      <c r="BS48" s="553">
        <f t="shared" si="59"/>
        <v>0</v>
      </c>
      <c r="BT48" s="553">
        <f t="shared" si="59"/>
        <v>0</v>
      </c>
      <c r="BU48" s="553">
        <f t="shared" si="59"/>
        <v>0</v>
      </c>
      <c r="BV48" s="553">
        <f t="shared" si="59"/>
        <v>0</v>
      </c>
      <c r="BW48" s="553">
        <f t="shared" si="59"/>
        <v>0</v>
      </c>
      <c r="BX48" s="553">
        <f t="shared" si="59"/>
        <v>0</v>
      </c>
      <c r="BY48" s="553">
        <f t="shared" si="59"/>
        <v>0</v>
      </c>
      <c r="BZ48" s="553">
        <f t="shared" si="59"/>
        <v>0</v>
      </c>
      <c r="CA48" s="553">
        <f t="shared" si="59"/>
        <v>228600</v>
      </c>
      <c r="CB48" s="553">
        <f t="shared" si="59"/>
        <v>0</v>
      </c>
      <c r="CC48" s="553">
        <f t="shared" si="59"/>
        <v>0</v>
      </c>
      <c r="CD48" s="553">
        <f t="shared" si="59"/>
        <v>3048840</v>
      </c>
      <c r="CE48" s="553">
        <f t="shared" si="59"/>
        <v>0</v>
      </c>
      <c r="CF48" s="553">
        <f t="shared" si="59"/>
        <v>0</v>
      </c>
      <c r="CG48" s="553">
        <f t="shared" si="59"/>
        <v>0</v>
      </c>
      <c r="CH48" s="553">
        <f t="shared" si="59"/>
        <v>0</v>
      </c>
      <c r="CI48" s="553">
        <f t="shared" si="59"/>
        <v>0</v>
      </c>
      <c r="CJ48" s="553">
        <f t="shared" si="59"/>
        <v>19813395</v>
      </c>
      <c r="CK48" s="553">
        <f t="shared" si="59"/>
        <v>0</v>
      </c>
      <c r="CL48" s="553">
        <f t="shared" si="59"/>
        <v>0</v>
      </c>
      <c r="CM48" s="553">
        <f t="shared" si="59"/>
        <v>162699720</v>
      </c>
      <c r="CN48" s="553">
        <f t="shared" si="59"/>
        <v>0</v>
      </c>
      <c r="CO48" s="553">
        <f t="shared" si="59"/>
        <v>0</v>
      </c>
      <c r="CP48" s="553">
        <f t="shared" si="59"/>
        <v>41808765</v>
      </c>
      <c r="CQ48" s="553">
        <f t="shared" si="59"/>
        <v>0</v>
      </c>
      <c r="CR48" s="553">
        <f t="shared" si="59"/>
        <v>73649723</v>
      </c>
      <c r="CS48" s="553">
        <f t="shared" si="59"/>
        <v>0</v>
      </c>
      <c r="CT48" s="553">
        <f t="shared" si="59"/>
        <v>93094080</v>
      </c>
      <c r="CU48" s="553">
        <f t="shared" si="59"/>
        <v>0</v>
      </c>
      <c r="CV48" s="553">
        <f t="shared" si="59"/>
        <v>0</v>
      </c>
      <c r="CW48" s="553">
        <f t="shared" si="59"/>
        <v>0</v>
      </c>
      <c r="CX48" s="553">
        <f t="shared" si="59"/>
        <v>0</v>
      </c>
      <c r="CY48" s="553">
        <f t="shared" si="59"/>
        <v>0</v>
      </c>
      <c r="CZ48" s="553">
        <f t="shared" si="59"/>
        <v>0</v>
      </c>
      <c r="DA48" s="553">
        <f t="shared" si="59"/>
        <v>0</v>
      </c>
      <c r="DB48" s="553">
        <f t="shared" si="59"/>
        <v>0</v>
      </c>
      <c r="DC48" s="553">
        <f t="shared" si="59"/>
        <v>0</v>
      </c>
      <c r="DD48" s="553">
        <f t="shared" si="59"/>
        <v>0</v>
      </c>
      <c r="DE48" s="553">
        <f t="shared" si="59"/>
        <v>0</v>
      </c>
      <c r="DF48" s="553">
        <f t="shared" si="59"/>
        <v>0</v>
      </c>
      <c r="DG48" s="553">
        <f t="shared" si="59"/>
        <v>0</v>
      </c>
      <c r="DH48" s="553">
        <f t="shared" si="59"/>
        <v>0</v>
      </c>
      <c r="DI48" s="553">
        <f t="shared" si="59"/>
        <v>0</v>
      </c>
      <c r="DJ48" s="553">
        <f t="shared" si="59"/>
        <v>0</v>
      </c>
      <c r="DK48" s="553">
        <f t="shared" si="59"/>
        <v>0</v>
      </c>
      <c r="DL48" s="553">
        <f t="shared" si="59"/>
        <v>0</v>
      </c>
      <c r="DM48" s="553">
        <f t="shared" si="59"/>
        <v>0</v>
      </c>
      <c r="DN48" s="553">
        <f t="shared" si="59"/>
        <v>0</v>
      </c>
      <c r="DO48" s="553">
        <f t="shared" si="59"/>
        <v>0</v>
      </c>
      <c r="DP48" s="553">
        <f t="shared" si="59"/>
        <v>0</v>
      </c>
      <c r="DQ48" s="553">
        <f t="shared" si="59"/>
        <v>0</v>
      </c>
      <c r="DR48" s="553">
        <f t="shared" si="59"/>
        <v>0</v>
      </c>
      <c r="DS48" s="553">
        <f t="shared" si="59"/>
        <v>0</v>
      </c>
      <c r="DT48" s="553">
        <f t="shared" si="59"/>
        <v>0</v>
      </c>
      <c r="DU48" s="553">
        <f t="shared" si="59"/>
        <v>0</v>
      </c>
      <c r="DV48" s="553">
        <f t="shared" si="59"/>
        <v>0</v>
      </c>
      <c r="DW48" s="553">
        <f t="shared" si="59"/>
        <v>1896984</v>
      </c>
      <c r="DX48" s="553">
        <v>0</v>
      </c>
      <c r="DY48" s="553">
        <f>+DY46+DY47</f>
        <v>0</v>
      </c>
      <c r="DZ48" s="553">
        <f t="shared" si="59"/>
        <v>0</v>
      </c>
      <c r="EA48" s="553">
        <f t="shared" si="59"/>
        <v>1500000000</v>
      </c>
      <c r="EB48" s="553">
        <f t="shared" si="59"/>
        <v>510000000</v>
      </c>
      <c r="EC48" s="553">
        <f t="shared" si="59"/>
        <v>135000000</v>
      </c>
      <c r="ED48" s="553">
        <f aca="true" t="shared" si="60" ref="ED48:EI48">+ED46+ED47</f>
        <v>22200000</v>
      </c>
      <c r="EE48" s="553">
        <f t="shared" si="60"/>
        <v>160000</v>
      </c>
      <c r="EF48" s="553">
        <f t="shared" si="60"/>
        <v>2950000000</v>
      </c>
      <c r="EG48" s="553">
        <f t="shared" si="60"/>
        <v>95000000</v>
      </c>
      <c r="EH48" s="553">
        <f t="shared" si="60"/>
        <v>816739160</v>
      </c>
      <c r="EI48" s="553">
        <f t="shared" si="60"/>
        <v>105831926</v>
      </c>
      <c r="EJ48" s="548">
        <f t="shared" si="0"/>
        <v>7459398818</v>
      </c>
      <c r="EK48" s="548">
        <f t="shared" si="1"/>
        <v>1597979800</v>
      </c>
      <c r="EL48" s="548">
        <f t="shared" si="2"/>
        <v>0</v>
      </c>
      <c r="EM48" s="548">
        <f t="shared" si="51"/>
        <v>9057378618</v>
      </c>
      <c r="EN48" s="551">
        <f t="shared" si="4"/>
        <v>0</v>
      </c>
      <c r="EO48" s="500">
        <f t="shared" si="5"/>
        <v>9057378618</v>
      </c>
      <c r="EP48" s="500">
        <f t="shared" si="50"/>
        <v>0</v>
      </c>
    </row>
    <row r="49" spans="1:146" s="503" customFormat="1" ht="21.75" customHeight="1">
      <c r="A49" s="496" t="s">
        <v>349</v>
      </c>
      <c r="B49" s="512" t="s">
        <v>551</v>
      </c>
      <c r="C49" s="498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>
        <f>'12.sz.mell. Létszámtábla'!C4</f>
        <v>1</v>
      </c>
      <c r="R49" s="554">
        <f>'12.sz.mell. Létszámtábla'!C5</f>
        <v>1</v>
      </c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>
        <f>'12.sz.mell. Létszámtábla'!C6</f>
        <v>4</v>
      </c>
      <c r="AL49" s="554"/>
      <c r="AM49" s="554"/>
      <c r="AN49" s="554"/>
      <c r="AO49" s="554"/>
      <c r="AP49" s="554"/>
      <c r="AQ49" s="554">
        <f>'12.sz.mell. Létszámtábla'!C7</f>
        <v>2</v>
      </c>
      <c r="AR49" s="554">
        <f>'12.sz.mell. Létszámtábla'!C8</f>
        <v>3</v>
      </c>
      <c r="AS49" s="554"/>
      <c r="AT49" s="554"/>
      <c r="AU49" s="554"/>
      <c r="AV49" s="554">
        <f>'12.sz.mell. Létszámtábla'!C9</f>
        <v>2</v>
      </c>
      <c r="AW49" s="554">
        <f>'12.sz.mell. Létszámtábla'!C10</f>
        <v>5</v>
      </c>
      <c r="AX49" s="554"/>
      <c r="AY49" s="554"/>
      <c r="AZ49" s="554"/>
      <c r="BA49" s="554"/>
      <c r="BB49" s="554">
        <v>6</v>
      </c>
      <c r="BC49" s="554"/>
      <c r="BD49" s="554"/>
      <c r="BE49" s="554"/>
      <c r="BF49" s="554"/>
      <c r="BG49" s="554"/>
      <c r="BH49" s="554"/>
      <c r="BI49" s="554"/>
      <c r="BJ49" s="554"/>
      <c r="BK49" s="554"/>
      <c r="BL49" s="554"/>
      <c r="BM49" s="554"/>
      <c r="BN49" s="554"/>
      <c r="BO49" s="554"/>
      <c r="BP49" s="554"/>
      <c r="BQ49" s="554"/>
      <c r="BR49" s="554"/>
      <c r="BS49" s="554"/>
      <c r="BT49" s="554"/>
      <c r="BU49" s="554"/>
      <c r="BV49" s="554"/>
      <c r="BW49" s="554"/>
      <c r="BX49" s="554"/>
      <c r="BY49" s="554"/>
      <c r="BZ49" s="554"/>
      <c r="CA49" s="554"/>
      <c r="CB49" s="554"/>
      <c r="CC49" s="554"/>
      <c r="CD49" s="554"/>
      <c r="CE49" s="554"/>
      <c r="CF49" s="554"/>
      <c r="CG49" s="554"/>
      <c r="CH49" s="554"/>
      <c r="CI49" s="554"/>
      <c r="CJ49" s="554"/>
      <c r="CK49" s="554"/>
      <c r="CL49" s="554"/>
      <c r="CM49" s="554"/>
      <c r="CN49" s="554"/>
      <c r="CO49" s="554"/>
      <c r="CP49" s="554"/>
      <c r="CQ49" s="554"/>
      <c r="CR49" s="554"/>
      <c r="CS49" s="554"/>
      <c r="CT49" s="554"/>
      <c r="CU49" s="554"/>
      <c r="CV49" s="554"/>
      <c r="CW49" s="554"/>
      <c r="CX49" s="554"/>
      <c r="CY49" s="554"/>
      <c r="CZ49" s="554"/>
      <c r="DA49" s="554"/>
      <c r="DB49" s="554"/>
      <c r="DC49" s="675"/>
      <c r="DD49" s="554"/>
      <c r="DE49" s="554"/>
      <c r="DF49" s="554"/>
      <c r="DG49" s="554"/>
      <c r="DH49" s="554"/>
      <c r="DI49" s="554"/>
      <c r="DJ49" s="554"/>
      <c r="DK49" s="554"/>
      <c r="DL49" s="554"/>
      <c r="DM49" s="554"/>
      <c r="DN49" s="554"/>
      <c r="DO49" s="554"/>
      <c r="DP49" s="554"/>
      <c r="DQ49" s="554"/>
      <c r="DR49" s="554"/>
      <c r="DS49" s="554"/>
      <c r="DT49" s="554"/>
      <c r="DU49" s="554"/>
      <c r="DV49" s="554"/>
      <c r="DW49" s="554"/>
      <c r="DX49" s="554"/>
      <c r="DY49" s="554"/>
      <c r="DZ49" s="554"/>
      <c r="EA49" s="554"/>
      <c r="EB49" s="554"/>
      <c r="EC49" s="554"/>
      <c r="ED49" s="554"/>
      <c r="EE49" s="554"/>
      <c r="EF49" s="554"/>
      <c r="EG49" s="554"/>
      <c r="EH49" s="554"/>
      <c r="EI49" s="554"/>
      <c r="EJ49" s="551">
        <f t="shared" si="0"/>
        <v>13</v>
      </c>
      <c r="EK49" s="551">
        <f t="shared" si="1"/>
        <v>11</v>
      </c>
      <c r="EL49" s="551">
        <f t="shared" si="2"/>
        <v>0</v>
      </c>
      <c r="EM49" s="551">
        <f t="shared" si="51"/>
        <v>24</v>
      </c>
      <c r="EN49" s="551">
        <f t="shared" si="4"/>
        <v>0</v>
      </c>
      <c r="EO49" s="500">
        <f t="shared" si="5"/>
        <v>24</v>
      </c>
      <c r="EP49" s="500">
        <f t="shared" si="50"/>
        <v>0</v>
      </c>
    </row>
    <row r="50" spans="1:146" s="503" customFormat="1" ht="21.75" customHeight="1">
      <c r="A50" s="496" t="s">
        <v>350</v>
      </c>
      <c r="B50" s="512" t="s">
        <v>899</v>
      </c>
      <c r="C50" s="498"/>
      <c r="D50" s="554">
        <f>'7. sz. Felújítások'!N18+'7. sz. Felújítások'!N19</f>
        <v>255000000</v>
      </c>
      <c r="E50" s="554"/>
      <c r="F50" s="554"/>
      <c r="G50" s="554"/>
      <c r="H50" s="554"/>
      <c r="I50" s="554">
        <v>10000000</v>
      </c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  <c r="BE50" s="554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4"/>
      <c r="CA50" s="554"/>
      <c r="CB50" s="554"/>
      <c r="CC50" s="554"/>
      <c r="CD50" s="554"/>
      <c r="CE50" s="554"/>
      <c r="CF50" s="554"/>
      <c r="CG50" s="554"/>
      <c r="CH50" s="554"/>
      <c r="CI50" s="554"/>
      <c r="CJ50" s="554"/>
      <c r="CK50" s="554"/>
      <c r="CL50" s="554"/>
      <c r="CM50" s="554"/>
      <c r="CN50" s="554"/>
      <c r="CO50" s="554"/>
      <c r="CP50" s="554"/>
      <c r="CQ50" s="554"/>
      <c r="CR50" s="554"/>
      <c r="CS50" s="554"/>
      <c r="CT50" s="554"/>
      <c r="CU50" s="554"/>
      <c r="CV50" s="554"/>
      <c r="CW50" s="554"/>
      <c r="CX50" s="554"/>
      <c r="CY50" s="554"/>
      <c r="CZ50" s="554"/>
      <c r="DA50" s="554"/>
      <c r="DB50" s="554"/>
      <c r="DC50" s="675"/>
      <c r="DD50" s="554"/>
      <c r="DE50" s="554"/>
      <c r="DF50" s="554"/>
      <c r="DG50" s="554"/>
      <c r="DH50" s="554"/>
      <c r="DI50" s="554"/>
      <c r="DJ50" s="554"/>
      <c r="DK50" s="554"/>
      <c r="DL50" s="554"/>
      <c r="DM50" s="554"/>
      <c r="DN50" s="554"/>
      <c r="DO50" s="554"/>
      <c r="DP50" s="554"/>
      <c r="DQ50" s="554"/>
      <c r="DR50" s="554"/>
      <c r="DS50" s="554"/>
      <c r="DT50" s="554"/>
      <c r="DU50" s="554"/>
      <c r="DV50" s="554"/>
      <c r="DW50" s="554"/>
      <c r="DX50" s="554"/>
      <c r="DY50" s="554"/>
      <c r="DZ50" s="554"/>
      <c r="EA50" s="554"/>
      <c r="EB50" s="554"/>
      <c r="EC50" s="554"/>
      <c r="ED50" s="554"/>
      <c r="EE50" s="554"/>
      <c r="EF50" s="554"/>
      <c r="EG50" s="554"/>
      <c r="EH50" s="554"/>
      <c r="EI50" s="554"/>
      <c r="EJ50" s="551">
        <f t="shared" si="0"/>
        <v>265000000</v>
      </c>
      <c r="EK50" s="551">
        <f t="shared" si="1"/>
        <v>0</v>
      </c>
      <c r="EL50" s="551">
        <f t="shared" si="2"/>
        <v>0</v>
      </c>
      <c r="EM50" s="551">
        <f t="shared" si="51"/>
        <v>265000000</v>
      </c>
      <c r="EN50" s="551">
        <f t="shared" si="4"/>
        <v>0</v>
      </c>
      <c r="EO50" s="500">
        <f t="shared" si="5"/>
        <v>265000000</v>
      </c>
      <c r="EP50" s="500"/>
    </row>
    <row r="51" spans="1:146" ht="15.75">
      <c r="A51" s="488"/>
      <c r="D51" s="501">
        <f>SUM(D50:D50)</f>
        <v>255000000</v>
      </c>
      <c r="E51" s="501">
        <f>SUM(E50:E50)</f>
        <v>0</v>
      </c>
      <c r="F51" s="501"/>
      <c r="G51" s="501"/>
      <c r="H51" s="501">
        <f aca="true" t="shared" si="61" ref="H51:P51">SUM(H50:H50)</f>
        <v>0</v>
      </c>
      <c r="I51" s="501">
        <f t="shared" si="61"/>
        <v>10000000</v>
      </c>
      <c r="J51" s="501">
        <f t="shared" si="61"/>
        <v>0</v>
      </c>
      <c r="K51" s="501">
        <f t="shared" si="61"/>
        <v>0</v>
      </c>
      <c r="L51" s="501">
        <f t="shared" si="61"/>
        <v>0</v>
      </c>
      <c r="M51" s="501">
        <f t="shared" si="61"/>
        <v>0</v>
      </c>
      <c r="N51" s="501">
        <f t="shared" si="61"/>
        <v>0</v>
      </c>
      <c r="O51" s="501">
        <f t="shared" si="61"/>
        <v>0</v>
      </c>
      <c r="P51" s="501">
        <f t="shared" si="61"/>
        <v>0</v>
      </c>
      <c r="Q51" s="501"/>
      <c r="R51" s="501"/>
      <c r="S51" s="501">
        <f>SUM(S50:S50)</f>
        <v>0</v>
      </c>
      <c r="T51" s="501">
        <f>SUM(T50:T50)</f>
        <v>0</v>
      </c>
      <c r="U51" s="501">
        <f>SUM(U50:U50)</f>
        <v>0</v>
      </c>
      <c r="V51" s="501"/>
      <c r="W51" s="501">
        <f>SUM(W50:W50)</f>
        <v>0</v>
      </c>
      <c r="X51" s="501"/>
      <c r="Y51" s="501">
        <f aca="true" t="shared" si="62" ref="Y51:BE51">SUM(Y50:Y50)</f>
        <v>0</v>
      </c>
      <c r="Z51" s="501">
        <f t="shared" si="62"/>
        <v>0</v>
      </c>
      <c r="AA51" s="501">
        <f t="shared" si="62"/>
        <v>0</v>
      </c>
      <c r="AB51" s="501">
        <f t="shared" si="62"/>
        <v>0</v>
      </c>
      <c r="AC51" s="501">
        <f t="shared" si="62"/>
        <v>0</v>
      </c>
      <c r="AD51" s="501">
        <f t="shared" si="62"/>
        <v>0</v>
      </c>
      <c r="AE51" s="501">
        <f t="shared" si="62"/>
        <v>0</v>
      </c>
      <c r="AF51" s="501">
        <f t="shared" si="62"/>
        <v>0</v>
      </c>
      <c r="AG51" s="501">
        <f t="shared" si="62"/>
        <v>0</v>
      </c>
      <c r="AH51" s="501">
        <f t="shared" si="62"/>
        <v>0</v>
      </c>
      <c r="AI51" s="501">
        <f t="shared" si="62"/>
        <v>0</v>
      </c>
      <c r="AJ51" s="501">
        <f t="shared" si="62"/>
        <v>0</v>
      </c>
      <c r="AK51" s="501">
        <f t="shared" si="62"/>
        <v>0</v>
      </c>
      <c r="AL51" s="501">
        <f>SUM(AL50:AL50)</f>
        <v>0</v>
      </c>
      <c r="AM51" s="501">
        <f>SUM(AM50:AM50)</f>
        <v>0</v>
      </c>
      <c r="AN51" s="501">
        <f t="shared" si="62"/>
        <v>0</v>
      </c>
      <c r="AO51" s="501">
        <f>SUM(AO50:AO50)</f>
        <v>0</v>
      </c>
      <c r="AP51" s="501">
        <f t="shared" si="62"/>
        <v>0</v>
      </c>
      <c r="AQ51" s="501">
        <f t="shared" si="62"/>
        <v>0</v>
      </c>
      <c r="AR51" s="501">
        <f t="shared" si="62"/>
        <v>0</v>
      </c>
      <c r="AS51" s="501">
        <f>SUM(AS50:AS50)</f>
        <v>0</v>
      </c>
      <c r="AT51" s="501">
        <f t="shared" si="62"/>
        <v>0</v>
      </c>
      <c r="AU51" s="501">
        <f t="shared" si="62"/>
        <v>0</v>
      </c>
      <c r="AV51" s="501">
        <f t="shared" si="62"/>
        <v>0</v>
      </c>
      <c r="AW51" s="501">
        <f t="shared" si="62"/>
        <v>0</v>
      </c>
      <c r="AX51" s="501">
        <f t="shared" si="62"/>
        <v>0</v>
      </c>
      <c r="AY51" s="501">
        <f t="shared" si="62"/>
        <v>0</v>
      </c>
      <c r="AZ51" s="501">
        <f t="shared" si="62"/>
        <v>0</v>
      </c>
      <c r="BA51" s="501">
        <f t="shared" si="62"/>
        <v>0</v>
      </c>
      <c r="BB51" s="501"/>
      <c r="BC51" s="501"/>
      <c r="BD51" s="501">
        <f t="shared" si="62"/>
        <v>0</v>
      </c>
      <c r="BE51" s="501">
        <f t="shared" si="62"/>
        <v>0</v>
      </c>
      <c r="BF51" s="501">
        <f>SUM(BF50:BF50)</f>
        <v>0</v>
      </c>
      <c r="BG51" s="555"/>
      <c r="BH51" s="501"/>
      <c r="BI51" s="501">
        <f>SUM(BI50:BI50)</f>
        <v>0</v>
      </c>
      <c r="BJ51" s="501"/>
      <c r="BK51" s="501"/>
      <c r="BL51" s="501">
        <f>SUM(BL50:BL50)</f>
        <v>0</v>
      </c>
      <c r="BM51" s="501">
        <f>SUM(BM50:BM50)</f>
        <v>0</v>
      </c>
      <c r="BN51" s="555">
        <f>SUM(BN50:BN50)</f>
        <v>0</v>
      </c>
      <c r="BO51" s="501">
        <f>SUM(BO50:BO50)</f>
        <v>0</v>
      </c>
      <c r="BP51" s="501"/>
      <c r="BQ51" s="501"/>
      <c r="BR51" s="501"/>
      <c r="BS51" s="501"/>
      <c r="BT51" s="501"/>
      <c r="BU51" s="501"/>
      <c r="BV51" s="501"/>
      <c r="BW51" s="501"/>
      <c r="BX51" s="501">
        <f>SUM(BX50:BX50)</f>
        <v>0</v>
      </c>
      <c r="BY51" s="501">
        <f>SUM(BY50:BY50)</f>
        <v>0</v>
      </c>
      <c r="BZ51" s="501"/>
      <c r="CA51" s="501"/>
      <c r="CB51" s="555">
        <f>SUM(CB50:CB50)</f>
        <v>0</v>
      </c>
      <c r="CC51" s="501">
        <f>SUM(CC50:CC50)</f>
        <v>0</v>
      </c>
      <c r="CD51" s="534"/>
      <c r="CE51" s="501"/>
      <c r="CF51" s="501"/>
      <c r="CG51" s="501"/>
      <c r="CH51" s="501"/>
      <c r="CI51" s="501"/>
      <c r="CJ51" s="501"/>
      <c r="CK51" s="501"/>
      <c r="CL51" s="501"/>
      <c r="CM51" s="537"/>
      <c r="CN51" s="537"/>
      <c r="CO51" s="534"/>
      <c r="CP51" s="501"/>
      <c r="CQ51" s="501"/>
      <c r="CR51" s="501"/>
      <c r="CS51" s="555"/>
      <c r="CT51" s="501"/>
      <c r="CU51" s="501"/>
      <c r="CV51" s="534"/>
      <c r="CW51" s="501">
        <f>SUM(CW50:CW50)</f>
        <v>0</v>
      </c>
      <c r="CX51" s="501">
        <f>SUM(CX50:CX50)</f>
        <v>0</v>
      </c>
      <c r="CY51" s="501">
        <f>SUM(CY50:CY50)</f>
        <v>0</v>
      </c>
      <c r="CZ51" s="501"/>
      <c r="DA51" s="501">
        <f>SUM(DA50:DA50)</f>
        <v>0</v>
      </c>
      <c r="DB51" s="501">
        <f>SUM(DB50:DB50)</f>
        <v>0</v>
      </c>
      <c r="DC51" s="501"/>
      <c r="DD51" s="501">
        <f>SUM(DD50:DD50)</f>
        <v>0</v>
      </c>
      <c r="DE51" s="501">
        <f>SUM(DE50:DE50)</f>
        <v>0</v>
      </c>
      <c r="DF51" s="501"/>
      <c r="DG51" s="501">
        <f aca="true" t="shared" si="63" ref="DG51:EM51">SUM(DG50:DG50)</f>
        <v>0</v>
      </c>
      <c r="DH51" s="501">
        <f t="shared" si="63"/>
        <v>0</v>
      </c>
      <c r="DI51" s="501">
        <f t="shared" si="63"/>
        <v>0</v>
      </c>
      <c r="DJ51" s="501">
        <f t="shared" si="63"/>
        <v>0</v>
      </c>
      <c r="DK51" s="501">
        <f t="shared" si="63"/>
        <v>0</v>
      </c>
      <c r="DL51" s="501">
        <f t="shared" si="63"/>
        <v>0</v>
      </c>
      <c r="DM51" s="501">
        <f t="shared" si="63"/>
        <v>0</v>
      </c>
      <c r="DN51" s="501">
        <f t="shared" si="63"/>
        <v>0</v>
      </c>
      <c r="DO51" s="501">
        <f t="shared" si="63"/>
        <v>0</v>
      </c>
      <c r="DP51" s="501">
        <f t="shared" si="63"/>
        <v>0</v>
      </c>
      <c r="DQ51" s="501">
        <f t="shared" si="63"/>
        <v>0</v>
      </c>
      <c r="DR51" s="501">
        <f t="shared" si="63"/>
        <v>0</v>
      </c>
      <c r="DS51" s="501">
        <f t="shared" si="63"/>
        <v>0</v>
      </c>
      <c r="DT51" s="501">
        <f t="shared" si="63"/>
        <v>0</v>
      </c>
      <c r="DU51" s="501">
        <f t="shared" si="63"/>
        <v>0</v>
      </c>
      <c r="DV51" s="501">
        <f t="shared" si="63"/>
        <v>0</v>
      </c>
      <c r="DW51" s="535">
        <f t="shared" si="63"/>
        <v>0</v>
      </c>
      <c r="DX51" s="535"/>
      <c r="DY51" s="535"/>
      <c r="DZ51" s="535"/>
      <c r="EA51" s="501">
        <f t="shared" si="63"/>
        <v>0</v>
      </c>
      <c r="EB51" s="501">
        <f t="shared" si="63"/>
        <v>0</v>
      </c>
      <c r="EC51" s="501">
        <f t="shared" si="63"/>
        <v>0</v>
      </c>
      <c r="ED51" s="501">
        <f t="shared" si="63"/>
        <v>0</v>
      </c>
      <c r="EE51" s="501">
        <f t="shared" si="63"/>
        <v>0</v>
      </c>
      <c r="EF51" s="501">
        <f t="shared" si="63"/>
        <v>0</v>
      </c>
      <c r="EG51" s="501">
        <f t="shared" si="63"/>
        <v>0</v>
      </c>
      <c r="EH51" s="501">
        <f>SUM(EH50:EH50)</f>
        <v>0</v>
      </c>
      <c r="EI51" s="501">
        <f t="shared" si="63"/>
        <v>0</v>
      </c>
      <c r="EJ51" s="501">
        <f t="shared" si="63"/>
        <v>265000000</v>
      </c>
      <c r="EK51" s="501">
        <f t="shared" si="63"/>
        <v>0</v>
      </c>
      <c r="EL51" s="501">
        <f t="shared" si="63"/>
        <v>0</v>
      </c>
      <c r="EM51" s="501">
        <f t="shared" si="63"/>
        <v>265000000</v>
      </c>
      <c r="EN51" s="501"/>
      <c r="EO51" s="500">
        <f>SUM(D51:O51)</f>
        <v>265000000</v>
      </c>
      <c r="EP51" s="501"/>
    </row>
    <row r="52" spans="1:146" ht="16.5" thickBot="1">
      <c r="A52" s="488"/>
      <c r="D52" s="501">
        <f>+D30+D32+D33+D35+D38</f>
        <v>0</v>
      </c>
      <c r="E52" s="501">
        <f>+E30+E32+E33+E35+E38</f>
        <v>0</v>
      </c>
      <c r="F52" s="501"/>
      <c r="G52" s="501"/>
      <c r="H52" s="501">
        <f aca="true" t="shared" si="64" ref="H52:P52">+H30+H32+H33+H35+H38</f>
        <v>0</v>
      </c>
      <c r="I52" s="501">
        <f t="shared" si="64"/>
        <v>0</v>
      </c>
      <c r="J52" s="501">
        <f t="shared" si="64"/>
        <v>0</v>
      </c>
      <c r="K52" s="501">
        <f t="shared" si="64"/>
        <v>0</v>
      </c>
      <c r="L52" s="501">
        <f t="shared" si="64"/>
        <v>0</v>
      </c>
      <c r="M52" s="501">
        <f t="shared" si="64"/>
        <v>0</v>
      </c>
      <c r="N52" s="501">
        <f t="shared" si="64"/>
        <v>2196454651</v>
      </c>
      <c r="O52" s="501">
        <f t="shared" si="64"/>
        <v>0</v>
      </c>
      <c r="P52" s="501">
        <f t="shared" si="64"/>
        <v>0</v>
      </c>
      <c r="Q52" s="501"/>
      <c r="R52" s="501"/>
      <c r="S52" s="501">
        <f>+S30+S32+S33+S35+S38</f>
        <v>0</v>
      </c>
      <c r="T52" s="501">
        <f>+T30+T32+T33+T35+T38</f>
        <v>0</v>
      </c>
      <c r="U52" s="501">
        <f>+U30+U32+U33+U35+U38</f>
        <v>0</v>
      </c>
      <c r="V52" s="501"/>
      <c r="W52" s="501">
        <f>+W30+W32+W33+W35+W38</f>
        <v>0</v>
      </c>
      <c r="X52" s="501"/>
      <c r="Y52" s="501">
        <f>+Y30+Y32+Y33+Y35+Y38</f>
        <v>0</v>
      </c>
      <c r="Z52" s="501">
        <f>+Z30+Z32+Z33+Z35+Z38</f>
        <v>0</v>
      </c>
      <c r="AA52" s="501">
        <f>+AA30+AA32+AA33+AA35+AA38</f>
        <v>0</v>
      </c>
      <c r="AB52" s="501">
        <f>+AB30+AB32+AB33+AB35+AB38</f>
        <v>9040000</v>
      </c>
      <c r="AC52" s="501">
        <f aca="true" t="shared" si="65" ref="AC52:BE52">+AC30+AC32+AC33+AC35+AC38</f>
        <v>0</v>
      </c>
      <c r="AD52" s="501">
        <f t="shared" si="65"/>
        <v>0</v>
      </c>
      <c r="AE52" s="501">
        <f t="shared" si="65"/>
        <v>0</v>
      </c>
      <c r="AF52" s="501">
        <f t="shared" si="65"/>
        <v>0</v>
      </c>
      <c r="AG52" s="501">
        <f t="shared" si="65"/>
        <v>0</v>
      </c>
      <c r="AH52" s="501">
        <f t="shared" si="65"/>
        <v>0</v>
      </c>
      <c r="AI52" s="501">
        <f t="shared" si="65"/>
        <v>0</v>
      </c>
      <c r="AJ52" s="501">
        <f t="shared" si="65"/>
        <v>0</v>
      </c>
      <c r="AK52" s="501">
        <f t="shared" si="65"/>
        <v>35500000</v>
      </c>
      <c r="AL52" s="501">
        <f>+AL30+AL32+AL33+AL35+AL38</f>
        <v>1960000</v>
      </c>
      <c r="AM52" s="501">
        <f>+AM30+AM32+AM33+AM35+AM38</f>
        <v>279100</v>
      </c>
      <c r="AN52" s="501">
        <f t="shared" si="65"/>
        <v>0</v>
      </c>
      <c r="AO52" s="501">
        <f>+AO30+AO32+AO33+AO35+AO38</f>
        <v>0</v>
      </c>
      <c r="AP52" s="501">
        <f t="shared" si="65"/>
        <v>0</v>
      </c>
      <c r="AQ52" s="501">
        <f t="shared" si="65"/>
        <v>0</v>
      </c>
      <c r="AR52" s="501">
        <f t="shared" si="65"/>
        <v>0</v>
      </c>
      <c r="AS52" s="501">
        <f>+AS30+AS32+AS33+AS35+AS38</f>
        <v>0</v>
      </c>
      <c r="AT52" s="501">
        <f t="shared" si="65"/>
        <v>10432495</v>
      </c>
      <c r="AU52" s="501">
        <f t="shared" si="65"/>
        <v>979980</v>
      </c>
      <c r="AV52" s="501">
        <f t="shared" si="65"/>
        <v>3810000</v>
      </c>
      <c r="AW52" s="501">
        <f t="shared" si="65"/>
        <v>28550000</v>
      </c>
      <c r="AX52" s="501">
        <f t="shared" si="65"/>
        <v>0</v>
      </c>
      <c r="AY52" s="501">
        <f t="shared" si="65"/>
        <v>0</v>
      </c>
      <c r="AZ52" s="501">
        <f t="shared" si="65"/>
        <v>0</v>
      </c>
      <c r="BA52" s="501">
        <f t="shared" si="65"/>
        <v>0</v>
      </c>
      <c r="BB52" s="501"/>
      <c r="BC52" s="501"/>
      <c r="BD52" s="501">
        <f t="shared" si="65"/>
        <v>0</v>
      </c>
      <c r="BE52" s="501">
        <f t="shared" si="65"/>
        <v>0</v>
      </c>
      <c r="BF52" s="501">
        <f>+BF30+BF32+BF33+BF35+BF38</f>
        <v>0</v>
      </c>
      <c r="BG52" s="555"/>
      <c r="BH52" s="501"/>
      <c r="BI52" s="501">
        <f>+BI30+BI32+BI33+BI35+BI38</f>
        <v>82628999</v>
      </c>
      <c r="BJ52" s="501"/>
      <c r="BK52" s="501"/>
      <c r="BL52" s="501">
        <f>+BL30+BL32+BL33+BL35+BL38</f>
        <v>0</v>
      </c>
      <c r="BM52" s="501">
        <f>+BM30+BM32+BM33+BM35+BM38</f>
        <v>0</v>
      </c>
      <c r="BN52" s="555">
        <f>+BN30+BN32+BN33+BN35+BN38</f>
        <v>0</v>
      </c>
      <c r="BO52" s="501">
        <f>+BO30+BO32+BO33+BO35+BO38</f>
        <v>0</v>
      </c>
      <c r="BP52" s="501"/>
      <c r="BQ52" s="501"/>
      <c r="BR52" s="501"/>
      <c r="BS52" s="501"/>
      <c r="BT52" s="501"/>
      <c r="BU52" s="501"/>
      <c r="BV52" s="501"/>
      <c r="BW52" s="501"/>
      <c r="BX52" s="501">
        <f>+BX30+BX32+BX33+BX35+BX38</f>
        <v>0</v>
      </c>
      <c r="BY52" s="501">
        <f>+BY30+BY32+BY33+BY35+BY38</f>
        <v>0</v>
      </c>
      <c r="BZ52" s="501"/>
      <c r="CA52" s="501"/>
      <c r="CB52" s="555">
        <f>+CB30+CB32+CB33+CB35+CB38</f>
        <v>0</v>
      </c>
      <c r="CC52" s="501">
        <f>+CC30+CC32+CC33+CC35+CC38</f>
        <v>0</v>
      </c>
      <c r="CD52" s="534"/>
      <c r="CE52" s="501"/>
      <c r="CF52" s="501"/>
      <c r="CG52" s="501"/>
      <c r="CH52" s="501"/>
      <c r="CI52" s="501"/>
      <c r="CJ52" s="501"/>
      <c r="CK52" s="501"/>
      <c r="CL52" s="501"/>
      <c r="CM52" s="537"/>
      <c r="CN52" s="537"/>
      <c r="CO52" s="534"/>
      <c r="CP52" s="501"/>
      <c r="CQ52" s="501"/>
      <c r="CR52" s="501"/>
      <c r="CS52" s="555"/>
      <c r="CT52" s="501"/>
      <c r="CU52" s="501"/>
      <c r="CV52" s="534"/>
      <c r="CW52" s="501">
        <f>+CW30+CW32+CW33+CW35+CW38</f>
        <v>0</v>
      </c>
      <c r="CX52" s="501">
        <f>+CX30+CX32+CX33+CX35+CX38</f>
        <v>0</v>
      </c>
      <c r="CY52" s="501">
        <f>+CY30+CY32+CY33+CY35+CY38</f>
        <v>0</v>
      </c>
      <c r="CZ52" s="501"/>
      <c r="DA52" s="501">
        <f>+DA30+DA32+DA33+DA35+DA38</f>
        <v>0</v>
      </c>
      <c r="DB52" s="501">
        <f>+DB30+DB32+DB33+DB35+DB38</f>
        <v>0</v>
      </c>
      <c r="DC52" s="501"/>
      <c r="DD52" s="501">
        <f>+DD30+DD32+DD33+DD35+DD38</f>
        <v>0</v>
      </c>
      <c r="DE52" s="501">
        <f>+DE30+DE32+DE33+DE35+DE38</f>
        <v>0</v>
      </c>
      <c r="DF52" s="501"/>
      <c r="DG52" s="501">
        <f aca="true" t="shared" si="66" ref="DG52:EM52">+DG30+DG32+DG33+DG35+DG38</f>
        <v>0</v>
      </c>
      <c r="DH52" s="501">
        <f t="shared" si="66"/>
        <v>0</v>
      </c>
      <c r="DI52" s="501">
        <f t="shared" si="66"/>
        <v>0</v>
      </c>
      <c r="DJ52" s="501">
        <f t="shared" si="66"/>
        <v>0</v>
      </c>
      <c r="DK52" s="501">
        <f t="shared" si="66"/>
        <v>0</v>
      </c>
      <c r="DL52" s="501">
        <f t="shared" si="66"/>
        <v>0</v>
      </c>
      <c r="DM52" s="501">
        <f t="shared" si="66"/>
        <v>0</v>
      </c>
      <c r="DN52" s="501">
        <f t="shared" si="66"/>
        <v>0</v>
      </c>
      <c r="DO52" s="501">
        <f t="shared" si="66"/>
        <v>0</v>
      </c>
      <c r="DP52" s="501">
        <f t="shared" si="66"/>
        <v>0</v>
      </c>
      <c r="DQ52" s="501">
        <f t="shared" si="66"/>
        <v>0</v>
      </c>
      <c r="DR52" s="501">
        <f t="shared" si="66"/>
        <v>0</v>
      </c>
      <c r="DS52" s="501">
        <f t="shared" si="66"/>
        <v>0</v>
      </c>
      <c r="DT52" s="501">
        <f t="shared" si="66"/>
        <v>0</v>
      </c>
      <c r="DU52" s="501">
        <f t="shared" si="66"/>
        <v>0</v>
      </c>
      <c r="DV52" s="501">
        <f t="shared" si="66"/>
        <v>0</v>
      </c>
      <c r="DW52" s="535">
        <f t="shared" si="66"/>
        <v>1896984</v>
      </c>
      <c r="DX52" s="535"/>
      <c r="DY52" s="535"/>
      <c r="DZ52" s="535"/>
      <c r="EA52" s="501">
        <f t="shared" si="66"/>
        <v>1500000000</v>
      </c>
      <c r="EB52" s="501">
        <f t="shared" si="66"/>
        <v>510000000</v>
      </c>
      <c r="EC52" s="501">
        <f t="shared" si="66"/>
        <v>135000000</v>
      </c>
      <c r="ED52" s="501">
        <f t="shared" si="66"/>
        <v>22200000</v>
      </c>
      <c r="EE52" s="501">
        <f t="shared" si="66"/>
        <v>160000</v>
      </c>
      <c r="EF52" s="501">
        <f t="shared" si="66"/>
        <v>2950000000</v>
      </c>
      <c r="EG52" s="501">
        <f t="shared" si="66"/>
        <v>95000000</v>
      </c>
      <c r="EH52" s="501">
        <f>+EH30+EH32+EH33+EH35+EH38</f>
        <v>816739160</v>
      </c>
      <c r="EI52" s="501">
        <f t="shared" si="66"/>
        <v>105831926</v>
      </c>
      <c r="EJ52" s="501">
        <f t="shared" si="66"/>
        <v>7028333135</v>
      </c>
      <c r="EK52" s="501">
        <f t="shared" si="66"/>
        <v>1537378600</v>
      </c>
      <c r="EL52" s="501">
        <f t="shared" si="66"/>
        <v>0</v>
      </c>
      <c r="EM52" s="501">
        <f t="shared" si="66"/>
        <v>8565711735</v>
      </c>
      <c r="EN52" s="501"/>
      <c r="EO52" s="501"/>
      <c r="EP52" s="501"/>
    </row>
    <row r="53" spans="1:146" ht="16.5" thickBot="1">
      <c r="A53" s="488"/>
      <c r="D53" s="501">
        <f>+D46</f>
        <v>0</v>
      </c>
      <c r="E53" s="501">
        <f>+E46</f>
        <v>0</v>
      </c>
      <c r="F53" s="501"/>
      <c r="G53" s="501"/>
      <c r="H53" s="501">
        <f aca="true" t="shared" si="67" ref="H53:P53">+H46</f>
        <v>0</v>
      </c>
      <c r="I53" s="501">
        <f t="shared" si="67"/>
        <v>0</v>
      </c>
      <c r="J53" s="501">
        <f t="shared" si="67"/>
        <v>0</v>
      </c>
      <c r="K53" s="501">
        <f t="shared" si="67"/>
        <v>0</v>
      </c>
      <c r="L53" s="501">
        <f t="shared" si="67"/>
        <v>0</v>
      </c>
      <c r="M53" s="501">
        <f t="shared" si="67"/>
        <v>0</v>
      </c>
      <c r="N53" s="501">
        <f t="shared" si="67"/>
        <v>1107668999</v>
      </c>
      <c r="O53" s="501">
        <f t="shared" si="67"/>
        <v>0</v>
      </c>
      <c r="P53" s="501">
        <f t="shared" si="67"/>
        <v>0</v>
      </c>
      <c r="Q53" s="501"/>
      <c r="R53" s="501"/>
      <c r="S53" s="501">
        <f>+S46</f>
        <v>0</v>
      </c>
      <c r="T53" s="501">
        <f>+T46</f>
        <v>0</v>
      </c>
      <c r="U53" s="501">
        <f>+U46</f>
        <v>0</v>
      </c>
      <c r="V53" s="501"/>
      <c r="W53" s="501">
        <f>+W46</f>
        <v>0</v>
      </c>
      <c r="X53" s="501"/>
      <c r="Y53" s="501">
        <f>+Y46</f>
        <v>0</v>
      </c>
      <c r="Z53" s="501">
        <f>+Z46</f>
        <v>0</v>
      </c>
      <c r="AA53" s="501">
        <f>+AA46</f>
        <v>0</v>
      </c>
      <c r="AB53" s="501">
        <f>+AB46</f>
        <v>9040000</v>
      </c>
      <c r="AC53" s="501">
        <f aca="true" t="shared" si="68" ref="AC53:BE53">+AC46</f>
        <v>0</v>
      </c>
      <c r="AD53" s="501">
        <f t="shared" si="68"/>
        <v>0</v>
      </c>
      <c r="AE53" s="501">
        <f t="shared" si="68"/>
        <v>0</v>
      </c>
      <c r="AF53" s="501">
        <f t="shared" si="68"/>
        <v>0</v>
      </c>
      <c r="AG53" s="501">
        <f t="shared" si="68"/>
        <v>0</v>
      </c>
      <c r="AH53" s="501">
        <f t="shared" si="68"/>
        <v>0</v>
      </c>
      <c r="AI53" s="501">
        <f t="shared" si="68"/>
        <v>0</v>
      </c>
      <c r="AJ53" s="501">
        <f t="shared" si="68"/>
        <v>0</v>
      </c>
      <c r="AK53" s="501">
        <f t="shared" si="68"/>
        <v>35500000</v>
      </c>
      <c r="AL53" s="501">
        <f>+AL46</f>
        <v>1960000</v>
      </c>
      <c r="AM53" s="501">
        <f>+AM46</f>
        <v>279100</v>
      </c>
      <c r="AN53" s="501">
        <f t="shared" si="68"/>
        <v>0</v>
      </c>
      <c r="AO53" s="501">
        <f>+AO46</f>
        <v>0</v>
      </c>
      <c r="AP53" s="501">
        <f t="shared" si="68"/>
        <v>0</v>
      </c>
      <c r="AQ53" s="501">
        <f t="shared" si="68"/>
        <v>0</v>
      </c>
      <c r="AR53" s="501">
        <f t="shared" si="68"/>
        <v>0</v>
      </c>
      <c r="AS53" s="501">
        <f>+AS46</f>
        <v>0</v>
      </c>
      <c r="AT53" s="501">
        <f t="shared" si="68"/>
        <v>10432495</v>
      </c>
      <c r="AU53" s="501">
        <f t="shared" si="68"/>
        <v>979980</v>
      </c>
      <c r="AV53" s="501">
        <f t="shared" si="68"/>
        <v>3810000</v>
      </c>
      <c r="AW53" s="501">
        <f t="shared" si="68"/>
        <v>28550000</v>
      </c>
      <c r="AX53" s="501">
        <f t="shared" si="68"/>
        <v>0</v>
      </c>
      <c r="AY53" s="501">
        <f t="shared" si="68"/>
        <v>0</v>
      </c>
      <c r="AZ53" s="501">
        <f t="shared" si="68"/>
        <v>0</v>
      </c>
      <c r="BA53" s="501">
        <f t="shared" si="68"/>
        <v>0</v>
      </c>
      <c r="BB53" s="501"/>
      <c r="BC53" s="501"/>
      <c r="BD53" s="501">
        <f t="shared" si="68"/>
        <v>0</v>
      </c>
      <c r="BE53" s="501">
        <f t="shared" si="68"/>
        <v>0</v>
      </c>
      <c r="BF53" s="501">
        <f>+BF46</f>
        <v>0</v>
      </c>
      <c r="BG53" s="555"/>
      <c r="BH53" s="501"/>
      <c r="BI53" s="501">
        <f>+BI46</f>
        <v>82628999</v>
      </c>
      <c r="BJ53" s="501"/>
      <c r="BK53" s="501"/>
      <c r="BL53" s="501">
        <f>+BL46</f>
        <v>0</v>
      </c>
      <c r="BM53" s="501">
        <f>+BM46</f>
        <v>0</v>
      </c>
      <c r="BN53" s="555">
        <f>+BN46</f>
        <v>0</v>
      </c>
      <c r="BO53" s="501">
        <f>+BO46</f>
        <v>0</v>
      </c>
      <c r="BP53" s="501"/>
      <c r="BQ53" s="501"/>
      <c r="BR53" s="501"/>
      <c r="BS53" s="501"/>
      <c r="BT53" s="501"/>
      <c r="BU53" s="501"/>
      <c r="BV53" s="501"/>
      <c r="BW53" s="501"/>
      <c r="BX53" s="501">
        <f>+BX46</f>
        <v>0</v>
      </c>
      <c r="BY53" s="501">
        <f>+BY46</f>
        <v>0</v>
      </c>
      <c r="BZ53" s="501"/>
      <c r="CA53" s="501"/>
      <c r="CB53" s="555">
        <f>+CB46</f>
        <v>0</v>
      </c>
      <c r="CC53" s="501">
        <f>+CC46</f>
        <v>0</v>
      </c>
      <c r="CD53" s="534"/>
      <c r="CE53" s="501"/>
      <c r="CF53" s="501"/>
      <c r="CG53" s="501"/>
      <c r="CH53" s="501"/>
      <c r="CI53" s="501"/>
      <c r="CJ53" s="501"/>
      <c r="CK53" s="501"/>
      <c r="CL53" s="501"/>
      <c r="CM53" s="537"/>
      <c r="CN53" s="537"/>
      <c r="CO53" s="534"/>
      <c r="CP53" s="501"/>
      <c r="CQ53" s="501"/>
      <c r="CR53" s="501"/>
      <c r="CS53" s="555"/>
      <c r="CT53" s="501"/>
      <c r="CU53" s="501"/>
      <c r="CV53" s="534"/>
      <c r="CW53" s="501">
        <f>+CW46</f>
        <v>0</v>
      </c>
      <c r="CX53" s="501">
        <f>+CX46</f>
        <v>0</v>
      </c>
      <c r="CY53" s="501">
        <f>+CY46</f>
        <v>0</v>
      </c>
      <c r="CZ53" s="501"/>
      <c r="DA53" s="501">
        <f>+DA46</f>
        <v>0</v>
      </c>
      <c r="DB53" s="501">
        <f>+DB46</f>
        <v>0</v>
      </c>
      <c r="DC53" s="501"/>
      <c r="DD53" s="501">
        <f>+DD46</f>
        <v>0</v>
      </c>
      <c r="DE53" s="501">
        <f>+DE46</f>
        <v>0</v>
      </c>
      <c r="DF53" s="501"/>
      <c r="DG53" s="501">
        <f aca="true" t="shared" si="69" ref="DG53:EM53">+DG46</f>
        <v>0</v>
      </c>
      <c r="DH53" s="501">
        <f t="shared" si="69"/>
        <v>0</v>
      </c>
      <c r="DI53" s="501">
        <f t="shared" si="69"/>
        <v>0</v>
      </c>
      <c r="DJ53" s="501">
        <f t="shared" si="69"/>
        <v>0</v>
      </c>
      <c r="DK53" s="501">
        <f t="shared" si="69"/>
        <v>0</v>
      </c>
      <c r="DL53" s="501">
        <f t="shared" si="69"/>
        <v>0</v>
      </c>
      <c r="DM53" s="501">
        <f t="shared" si="69"/>
        <v>0</v>
      </c>
      <c r="DN53" s="501">
        <f t="shared" si="69"/>
        <v>0</v>
      </c>
      <c r="DO53" s="501">
        <f t="shared" si="69"/>
        <v>0</v>
      </c>
      <c r="DP53" s="501">
        <f t="shared" si="69"/>
        <v>0</v>
      </c>
      <c r="DQ53" s="501">
        <f t="shared" si="69"/>
        <v>0</v>
      </c>
      <c r="DR53" s="501">
        <f t="shared" si="69"/>
        <v>0</v>
      </c>
      <c r="DS53" s="501">
        <f t="shared" si="69"/>
        <v>0</v>
      </c>
      <c r="DT53" s="501">
        <f t="shared" si="69"/>
        <v>0</v>
      </c>
      <c r="DU53" s="501">
        <f t="shared" si="69"/>
        <v>0</v>
      </c>
      <c r="DV53" s="501">
        <f t="shared" si="69"/>
        <v>0</v>
      </c>
      <c r="DW53" s="535">
        <f t="shared" si="69"/>
        <v>1896984</v>
      </c>
      <c r="DX53" s="535"/>
      <c r="DY53" s="535"/>
      <c r="DZ53" s="535"/>
      <c r="EA53" s="501">
        <f t="shared" si="69"/>
        <v>1500000000</v>
      </c>
      <c r="EB53" s="501">
        <f t="shared" si="69"/>
        <v>510000000</v>
      </c>
      <c r="EC53" s="501">
        <f t="shared" si="69"/>
        <v>135000000</v>
      </c>
      <c r="ED53" s="501">
        <f t="shared" si="69"/>
        <v>22200000</v>
      </c>
      <c r="EE53" s="501">
        <f t="shared" si="69"/>
        <v>160000</v>
      </c>
      <c r="EF53" s="501">
        <f t="shared" si="69"/>
        <v>2950000000</v>
      </c>
      <c r="EG53" s="501">
        <f t="shared" si="69"/>
        <v>95000000</v>
      </c>
      <c r="EH53" s="501">
        <f>+EH46</f>
        <v>816739160</v>
      </c>
      <c r="EI53" s="501">
        <f t="shared" si="69"/>
        <v>105831926</v>
      </c>
      <c r="EJ53" s="501">
        <f t="shared" si="69"/>
        <v>5939547483</v>
      </c>
      <c r="EK53" s="501">
        <f t="shared" si="69"/>
        <v>1537378600</v>
      </c>
      <c r="EL53" s="501">
        <f t="shared" si="69"/>
        <v>0</v>
      </c>
      <c r="EM53" s="501">
        <f t="shared" si="69"/>
        <v>7476926083</v>
      </c>
      <c r="EN53" s="501"/>
      <c r="EO53" s="514">
        <f>+EM48-EM29</f>
        <v>0.10236167907714844</v>
      </c>
      <c r="EP53" s="501" t="e">
        <f>+'3. sz.Városi szintű összesen'!#REF!</f>
        <v>#REF!</v>
      </c>
    </row>
    <row r="54" spans="1:146" ht="15.75">
      <c r="A54" s="488"/>
      <c r="D54" s="501">
        <f>+D52-D53</f>
        <v>0</v>
      </c>
      <c r="E54" s="501">
        <f aca="true" t="shared" si="70" ref="E54:BE54">+E52-E53</f>
        <v>0</v>
      </c>
      <c r="F54" s="501"/>
      <c r="G54" s="501"/>
      <c r="H54" s="501">
        <f t="shared" si="70"/>
        <v>0</v>
      </c>
      <c r="I54" s="501">
        <f t="shared" si="70"/>
        <v>0</v>
      </c>
      <c r="J54" s="501">
        <f aca="true" t="shared" si="71" ref="J54:P54">+J52-J53</f>
        <v>0</v>
      </c>
      <c r="K54" s="501">
        <f t="shared" si="71"/>
        <v>0</v>
      </c>
      <c r="L54" s="501">
        <f t="shared" si="71"/>
        <v>0</v>
      </c>
      <c r="M54" s="501">
        <f t="shared" si="71"/>
        <v>0</v>
      </c>
      <c r="N54" s="501">
        <f t="shared" si="71"/>
        <v>1088785652</v>
      </c>
      <c r="O54" s="501">
        <f t="shared" si="71"/>
        <v>0</v>
      </c>
      <c r="P54" s="501">
        <f t="shared" si="71"/>
        <v>0</v>
      </c>
      <c r="Q54" s="501"/>
      <c r="R54" s="501"/>
      <c r="S54" s="501">
        <f>+S52-S53</f>
        <v>0</v>
      </c>
      <c r="T54" s="501">
        <f>+T52-T53</f>
        <v>0</v>
      </c>
      <c r="U54" s="501">
        <f>+U52-U53</f>
        <v>0</v>
      </c>
      <c r="V54" s="501"/>
      <c r="W54" s="501">
        <f>+W52-W53</f>
        <v>0</v>
      </c>
      <c r="X54" s="501"/>
      <c r="Y54" s="501">
        <f t="shared" si="70"/>
        <v>0</v>
      </c>
      <c r="Z54" s="501">
        <f t="shared" si="70"/>
        <v>0</v>
      </c>
      <c r="AA54" s="501">
        <f t="shared" si="70"/>
        <v>0</v>
      </c>
      <c r="AB54" s="501">
        <f t="shared" si="70"/>
        <v>0</v>
      </c>
      <c r="AC54" s="501">
        <f t="shared" si="70"/>
        <v>0</v>
      </c>
      <c r="AD54" s="501">
        <f t="shared" si="70"/>
        <v>0</v>
      </c>
      <c r="AE54" s="501">
        <f t="shared" si="70"/>
        <v>0</v>
      </c>
      <c r="AF54" s="501">
        <f t="shared" si="70"/>
        <v>0</v>
      </c>
      <c r="AG54" s="501">
        <f t="shared" si="70"/>
        <v>0</v>
      </c>
      <c r="AH54" s="501">
        <f t="shared" si="70"/>
        <v>0</v>
      </c>
      <c r="AI54" s="501">
        <f t="shared" si="70"/>
        <v>0</v>
      </c>
      <c r="AJ54" s="501">
        <f t="shared" si="70"/>
        <v>0</v>
      </c>
      <c r="AK54" s="501">
        <f t="shared" si="70"/>
        <v>0</v>
      </c>
      <c r="AL54" s="501">
        <f>+AL52-AL53</f>
        <v>0</v>
      </c>
      <c r="AM54" s="501">
        <f>+AM52-AM53</f>
        <v>0</v>
      </c>
      <c r="AN54" s="501">
        <f t="shared" si="70"/>
        <v>0</v>
      </c>
      <c r="AO54" s="501">
        <f>+AO52-AO53</f>
        <v>0</v>
      </c>
      <c r="AP54" s="501">
        <f t="shared" si="70"/>
        <v>0</v>
      </c>
      <c r="AQ54" s="501">
        <f t="shared" si="70"/>
        <v>0</v>
      </c>
      <c r="AR54" s="501">
        <f t="shared" si="70"/>
        <v>0</v>
      </c>
      <c r="AS54" s="501">
        <f>+AS52-AS53</f>
        <v>0</v>
      </c>
      <c r="AT54" s="501">
        <f t="shared" si="70"/>
        <v>0</v>
      </c>
      <c r="AU54" s="501">
        <f t="shared" si="70"/>
        <v>0</v>
      </c>
      <c r="AV54" s="501">
        <f t="shared" si="70"/>
        <v>0</v>
      </c>
      <c r="AW54" s="501">
        <f t="shared" si="70"/>
        <v>0</v>
      </c>
      <c r="AX54" s="501">
        <f t="shared" si="70"/>
        <v>0</v>
      </c>
      <c r="AY54" s="501">
        <f t="shared" si="70"/>
        <v>0</v>
      </c>
      <c r="AZ54" s="501">
        <f t="shared" si="70"/>
        <v>0</v>
      </c>
      <c r="BA54" s="501">
        <f t="shared" si="70"/>
        <v>0</v>
      </c>
      <c r="BB54" s="501"/>
      <c r="BC54" s="501"/>
      <c r="BD54" s="501">
        <f t="shared" si="70"/>
        <v>0</v>
      </c>
      <c r="BE54" s="501">
        <f t="shared" si="70"/>
        <v>0</v>
      </c>
      <c r="BF54" s="501">
        <f>+BF52-BF53</f>
        <v>0</v>
      </c>
      <c r="BG54" s="555"/>
      <c r="BH54" s="501"/>
      <c r="BI54" s="501">
        <f>+BI52-BI53</f>
        <v>0</v>
      </c>
      <c r="BJ54" s="501"/>
      <c r="BK54" s="501"/>
      <c r="BL54" s="501">
        <f>+BL52-BL53</f>
        <v>0</v>
      </c>
      <c r="BM54" s="501">
        <f>+BM52-BM53</f>
        <v>0</v>
      </c>
      <c r="BN54" s="555">
        <f>+BN52-BN53</f>
        <v>0</v>
      </c>
      <c r="BO54" s="501">
        <f>+BO52-BO53</f>
        <v>0</v>
      </c>
      <c r="BP54" s="501"/>
      <c r="BQ54" s="501"/>
      <c r="BR54" s="501"/>
      <c r="BS54" s="501"/>
      <c r="BT54" s="501"/>
      <c r="BU54" s="501"/>
      <c r="BV54" s="501"/>
      <c r="BW54" s="501"/>
      <c r="BX54" s="501">
        <f>+BX52-BX53</f>
        <v>0</v>
      </c>
      <c r="BY54" s="501">
        <f>+BY52-BY53</f>
        <v>0</v>
      </c>
      <c r="BZ54" s="501"/>
      <c r="CA54" s="501"/>
      <c r="CB54" s="555">
        <f>+CB52-CB53</f>
        <v>0</v>
      </c>
      <c r="CC54" s="501">
        <f>+CC52-CC53</f>
        <v>0</v>
      </c>
      <c r="CD54" s="534"/>
      <c r="CE54" s="501"/>
      <c r="CF54" s="501"/>
      <c r="CG54" s="501"/>
      <c r="CH54" s="501"/>
      <c r="CI54" s="501"/>
      <c r="CJ54" s="501"/>
      <c r="CK54" s="501"/>
      <c r="CL54" s="501"/>
      <c r="CM54" s="537"/>
      <c r="CN54" s="537"/>
      <c r="CO54" s="534"/>
      <c r="CP54" s="501"/>
      <c r="CQ54" s="501"/>
      <c r="CR54" s="501"/>
      <c r="CS54" s="555"/>
      <c r="CT54" s="501"/>
      <c r="CU54" s="501"/>
      <c r="CV54" s="534"/>
      <c r="CW54" s="501">
        <f>+CW52-CW53</f>
        <v>0</v>
      </c>
      <c r="CX54" s="501">
        <f>+CX52-CX53</f>
        <v>0</v>
      </c>
      <c r="CY54" s="501">
        <f>+CY52-CY53</f>
        <v>0</v>
      </c>
      <c r="CZ54" s="501"/>
      <c r="DA54" s="501">
        <f>+DA52-DA53</f>
        <v>0</v>
      </c>
      <c r="DB54" s="501">
        <f>+DB52-DB53</f>
        <v>0</v>
      </c>
      <c r="DC54" s="501"/>
      <c r="DD54" s="501">
        <f>+DD52-DD53</f>
        <v>0</v>
      </c>
      <c r="DE54" s="501">
        <f>+DE52-DE53</f>
        <v>0</v>
      </c>
      <c r="DF54" s="501"/>
      <c r="DG54" s="501">
        <f aca="true" t="shared" si="72" ref="DG54:EM54">+DG52-DG53</f>
        <v>0</v>
      </c>
      <c r="DH54" s="501">
        <f t="shared" si="72"/>
        <v>0</v>
      </c>
      <c r="DI54" s="501">
        <f t="shared" si="72"/>
        <v>0</v>
      </c>
      <c r="DJ54" s="501">
        <f t="shared" si="72"/>
        <v>0</v>
      </c>
      <c r="DK54" s="501">
        <f t="shared" si="72"/>
        <v>0</v>
      </c>
      <c r="DL54" s="501">
        <f t="shared" si="72"/>
        <v>0</v>
      </c>
      <c r="DM54" s="501">
        <f t="shared" si="72"/>
        <v>0</v>
      </c>
      <c r="DN54" s="501">
        <f t="shared" si="72"/>
        <v>0</v>
      </c>
      <c r="DO54" s="501">
        <f t="shared" si="72"/>
        <v>0</v>
      </c>
      <c r="DP54" s="501">
        <f t="shared" si="72"/>
        <v>0</v>
      </c>
      <c r="DQ54" s="501">
        <f t="shared" si="72"/>
        <v>0</v>
      </c>
      <c r="DR54" s="501">
        <f t="shared" si="72"/>
        <v>0</v>
      </c>
      <c r="DS54" s="501">
        <f t="shared" si="72"/>
        <v>0</v>
      </c>
      <c r="DT54" s="501">
        <f t="shared" si="72"/>
        <v>0</v>
      </c>
      <c r="DU54" s="501">
        <f t="shared" si="72"/>
        <v>0</v>
      </c>
      <c r="DV54" s="501">
        <f t="shared" si="72"/>
        <v>0</v>
      </c>
      <c r="DW54" s="535">
        <f t="shared" si="72"/>
        <v>0</v>
      </c>
      <c r="DX54" s="535"/>
      <c r="DY54" s="535"/>
      <c r="DZ54" s="535"/>
      <c r="EA54" s="501">
        <f t="shared" si="72"/>
        <v>0</v>
      </c>
      <c r="EB54" s="501">
        <f t="shared" si="72"/>
        <v>0</v>
      </c>
      <c r="EC54" s="501">
        <f t="shared" si="72"/>
        <v>0</v>
      </c>
      <c r="ED54" s="501">
        <f t="shared" si="72"/>
        <v>0</v>
      </c>
      <c r="EE54" s="501">
        <f t="shared" si="72"/>
        <v>0</v>
      </c>
      <c r="EF54" s="501">
        <f t="shared" si="72"/>
        <v>0</v>
      </c>
      <c r="EG54" s="501">
        <f t="shared" si="72"/>
        <v>0</v>
      </c>
      <c r="EH54" s="501">
        <f>+EH52-EH53</f>
        <v>0</v>
      </c>
      <c r="EI54" s="501">
        <f t="shared" si="72"/>
        <v>0</v>
      </c>
      <c r="EJ54" s="501">
        <f t="shared" si="72"/>
        <v>1088785652</v>
      </c>
      <c r="EK54" s="501">
        <f t="shared" si="72"/>
        <v>0</v>
      </c>
      <c r="EL54" s="501">
        <f t="shared" si="72"/>
        <v>0</v>
      </c>
      <c r="EM54" s="501">
        <f t="shared" si="72"/>
        <v>1088785652</v>
      </c>
      <c r="EN54" s="515"/>
      <c r="EO54" s="515">
        <f>EO51-EO53</f>
        <v>264999999.89763832</v>
      </c>
      <c r="EP54" s="515"/>
    </row>
    <row r="55" spans="1:145" ht="15.75">
      <c r="A55" s="488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55"/>
      <c r="BH55" s="501"/>
      <c r="BI55" s="501"/>
      <c r="BJ55" s="501"/>
      <c r="BK55" s="501"/>
      <c r="BL55" s="501"/>
      <c r="BM55" s="501"/>
      <c r="BN55" s="555"/>
      <c r="BO55" s="501"/>
      <c r="BP55" s="501"/>
      <c r="BQ55" s="501"/>
      <c r="BR55" s="501"/>
      <c r="BS55" s="501"/>
      <c r="BT55" s="501"/>
      <c r="BU55" s="501"/>
      <c r="BV55" s="501"/>
      <c r="BW55" s="501"/>
      <c r="BX55" s="501"/>
      <c r="BY55" s="501"/>
      <c r="BZ55" s="501"/>
      <c r="CA55" s="501"/>
      <c r="CB55" s="555"/>
      <c r="CC55" s="501"/>
      <c r="CD55" s="534"/>
      <c r="CE55" s="501"/>
      <c r="CF55" s="501"/>
      <c r="CG55" s="501"/>
      <c r="CH55" s="501"/>
      <c r="CI55" s="501"/>
      <c r="CJ55" s="501"/>
      <c r="CK55" s="501"/>
      <c r="CL55" s="501"/>
      <c r="CM55" s="537"/>
      <c r="CN55" s="537"/>
      <c r="CO55" s="534"/>
      <c r="CP55" s="501"/>
      <c r="CQ55" s="501"/>
      <c r="CR55" s="501"/>
      <c r="CS55" s="555"/>
      <c r="CT55" s="501"/>
      <c r="CU55" s="501"/>
      <c r="CV55" s="534"/>
      <c r="CW55" s="501"/>
      <c r="CX55" s="501"/>
      <c r="CY55" s="501"/>
      <c r="CZ55" s="501"/>
      <c r="DA55" s="501"/>
      <c r="DB55" s="501"/>
      <c r="DC55" s="501"/>
      <c r="DD55" s="501"/>
      <c r="DE55" s="501"/>
      <c r="DF55" s="501"/>
      <c r="DG55" s="501"/>
      <c r="DH55" s="501"/>
      <c r="DI55" s="501"/>
      <c r="DJ55" s="501"/>
      <c r="DK55" s="501"/>
      <c r="DL55" s="501"/>
      <c r="DM55" s="501"/>
      <c r="DN55" s="501"/>
      <c r="DO55" s="501"/>
      <c r="DP55" s="501"/>
      <c r="DQ55" s="501"/>
      <c r="DR55" s="501"/>
      <c r="DS55" s="501"/>
      <c r="DT55" s="501"/>
      <c r="DU55" s="501"/>
      <c r="DV55" s="501"/>
      <c r="DW55" s="535"/>
      <c r="DX55" s="535"/>
      <c r="DY55" s="535"/>
      <c r="DZ55" s="535"/>
      <c r="EA55" s="501"/>
      <c r="EB55" s="501"/>
      <c r="EC55" s="501"/>
      <c r="ED55" s="501"/>
      <c r="EE55" s="501"/>
      <c r="EF55" s="501"/>
      <c r="EG55" s="501"/>
      <c r="EH55" s="501"/>
      <c r="EI55" s="501"/>
      <c r="EJ55" s="501"/>
      <c r="EK55" s="501"/>
      <c r="EL55" s="501"/>
      <c r="EM55" s="501"/>
      <c r="EO55" s="488">
        <v>9040000</v>
      </c>
    </row>
    <row r="56" spans="1:145" ht="15.75">
      <c r="A56" s="488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501"/>
      <c r="AM56" s="501"/>
      <c r="AN56" s="501"/>
      <c r="AO56" s="501"/>
      <c r="AP56" s="501"/>
      <c r="AQ56" s="501"/>
      <c r="AR56" s="501"/>
      <c r="AS56" s="501"/>
      <c r="AT56" s="501"/>
      <c r="AU56" s="501"/>
      <c r="AV56" s="501"/>
      <c r="AW56" s="501"/>
      <c r="AX56" s="501"/>
      <c r="AY56" s="501"/>
      <c r="AZ56" s="501"/>
      <c r="BA56" s="501"/>
      <c r="BB56" s="501"/>
      <c r="BC56" s="501"/>
      <c r="BD56" s="501"/>
      <c r="BE56" s="501"/>
      <c r="BF56" s="501"/>
      <c r="BG56" s="555"/>
      <c r="BH56" s="501"/>
      <c r="BI56" s="501"/>
      <c r="BJ56" s="501"/>
      <c r="BK56" s="501"/>
      <c r="BL56" s="501"/>
      <c r="BM56" s="501"/>
      <c r="BN56" s="555"/>
      <c r="BO56" s="501"/>
      <c r="BP56" s="501"/>
      <c r="BQ56" s="501"/>
      <c r="BR56" s="501"/>
      <c r="BS56" s="501"/>
      <c r="BT56" s="501"/>
      <c r="BU56" s="501"/>
      <c r="BV56" s="501"/>
      <c r="BW56" s="501"/>
      <c r="BX56" s="501"/>
      <c r="BY56" s="501"/>
      <c r="BZ56" s="501"/>
      <c r="CA56" s="501"/>
      <c r="CB56" s="555"/>
      <c r="CC56" s="501"/>
      <c r="CD56" s="534"/>
      <c r="CE56" s="501"/>
      <c r="CF56" s="501"/>
      <c r="CG56" s="501"/>
      <c r="CH56" s="501"/>
      <c r="CI56" s="501"/>
      <c r="CJ56" s="501"/>
      <c r="CK56" s="501"/>
      <c r="CL56" s="501"/>
      <c r="CM56" s="537"/>
      <c r="CN56" s="537"/>
      <c r="CO56" s="534"/>
      <c r="CP56" s="501"/>
      <c r="CQ56" s="501"/>
      <c r="CR56" s="501"/>
      <c r="CS56" s="555"/>
      <c r="CT56" s="501"/>
      <c r="CU56" s="501"/>
      <c r="CV56" s="534"/>
      <c r="CW56" s="501"/>
      <c r="CX56" s="501"/>
      <c r="CY56" s="501"/>
      <c r="CZ56" s="501"/>
      <c r="DA56" s="501"/>
      <c r="DB56" s="501"/>
      <c r="DC56" s="501"/>
      <c r="DD56" s="501"/>
      <c r="DE56" s="501"/>
      <c r="DF56" s="501"/>
      <c r="DG56" s="501"/>
      <c r="DH56" s="501"/>
      <c r="DI56" s="501"/>
      <c r="DJ56" s="501"/>
      <c r="DK56" s="501"/>
      <c r="DL56" s="501"/>
      <c r="DM56" s="501"/>
      <c r="DN56" s="501"/>
      <c r="DO56" s="501"/>
      <c r="DP56" s="501"/>
      <c r="DQ56" s="501"/>
      <c r="DR56" s="501"/>
      <c r="DS56" s="501"/>
      <c r="DT56" s="501"/>
      <c r="DU56" s="501"/>
      <c r="DV56" s="501"/>
      <c r="DW56" s="535"/>
      <c r="DX56" s="535"/>
      <c r="DY56" s="535"/>
      <c r="DZ56" s="535"/>
      <c r="EA56" s="501"/>
      <c r="EB56" s="501"/>
      <c r="EC56" s="501"/>
      <c r="ED56" s="501"/>
      <c r="EE56" s="501"/>
      <c r="EF56" s="501"/>
      <c r="EG56" s="501"/>
      <c r="EH56" s="501"/>
      <c r="EI56" s="501"/>
      <c r="EM56" s="488">
        <v>4548978417</v>
      </c>
      <c r="EO56" s="501">
        <f>+EO53+EO55</f>
        <v>9040000.10236168</v>
      </c>
    </row>
    <row r="57" ht="15.75">
      <c r="EM57" s="501">
        <f>+EM48-EM56</f>
        <v>4508400201</v>
      </c>
    </row>
    <row r="61" spans="1:113" ht="15.75">
      <c r="A61" s="488"/>
      <c r="DI61" s="515" t="e">
        <f>+#REF!+#REF!+#REF!+#REF!+#REF!</f>
        <v>#REF!</v>
      </c>
    </row>
  </sheetData>
  <sheetProtection/>
  <mergeCells count="145">
    <mergeCell ref="DY5:DY6"/>
    <mergeCell ref="V5:V6"/>
    <mergeCell ref="BP5:BP6"/>
    <mergeCell ref="CD5:CD6"/>
    <mergeCell ref="BN5:BN6"/>
    <mergeCell ref="BO5:BO6"/>
    <mergeCell ref="CH5:CH6"/>
    <mergeCell ref="CF5:CF6"/>
    <mergeCell ref="BR5:BR6"/>
    <mergeCell ref="BJ5:BJ6"/>
    <mergeCell ref="W5:W6"/>
    <mergeCell ref="BC5:BC6"/>
    <mergeCell ref="AA5:AA6"/>
    <mergeCell ref="AR5:AR6"/>
    <mergeCell ref="AW5:AW6"/>
    <mergeCell ref="AY5:AY6"/>
    <mergeCell ref="CC5:CC6"/>
    <mergeCell ref="CB5:CB6"/>
    <mergeCell ref="BY5:BY6"/>
    <mergeCell ref="BL5:BL6"/>
    <mergeCell ref="AJ5:AJ6"/>
    <mergeCell ref="AU5:AU6"/>
    <mergeCell ref="BF5:BF6"/>
    <mergeCell ref="BT5:BT6"/>
    <mergeCell ref="BH5:BH6"/>
    <mergeCell ref="CO5:CO6"/>
    <mergeCell ref="AH5:AH6"/>
    <mergeCell ref="AI5:AI6"/>
    <mergeCell ref="CJ5:CJ6"/>
    <mergeCell ref="CE5:CE6"/>
    <mergeCell ref="AZ5:AZ6"/>
    <mergeCell ref="BA5:BA6"/>
    <mergeCell ref="AV5:AV6"/>
    <mergeCell ref="BZ5:BZ6"/>
    <mergeCell ref="CA5:CA6"/>
    <mergeCell ref="DD5:DD6"/>
    <mergeCell ref="CP5:CP6"/>
    <mergeCell ref="AS5:AS6"/>
    <mergeCell ref="CV5:CV6"/>
    <mergeCell ref="CG5:CG6"/>
    <mergeCell ref="CU5:CU6"/>
    <mergeCell ref="CT5:CT6"/>
    <mergeCell ref="CQ5:CQ6"/>
    <mergeCell ref="CR5:CR6"/>
    <mergeCell ref="BM5:BM6"/>
    <mergeCell ref="EI5:EI6"/>
    <mergeCell ref="ED5:ED6"/>
    <mergeCell ref="CN5:CN6"/>
    <mergeCell ref="CL5:CL6"/>
    <mergeCell ref="CK5:CK6"/>
    <mergeCell ref="CM5:CM6"/>
    <mergeCell ref="DF5:DF6"/>
    <mergeCell ref="DZ5:DZ6"/>
    <mergeCell ref="DX5:DX6"/>
    <mergeCell ref="EH5:EH6"/>
    <mergeCell ref="EA5:EA6"/>
    <mergeCell ref="DN5:DP6"/>
    <mergeCell ref="DK5:DK6"/>
    <mergeCell ref="DS5:DS6"/>
    <mergeCell ref="EJ2:EM2"/>
    <mergeCell ref="EJ3:EM3"/>
    <mergeCell ref="EK4:EK6"/>
    <mergeCell ref="EJ4:EJ6"/>
    <mergeCell ref="EM4:EM6"/>
    <mergeCell ref="EL4:EL6"/>
    <mergeCell ref="EB5:EB6"/>
    <mergeCell ref="O5:O6"/>
    <mergeCell ref="DC5:DC6"/>
    <mergeCell ref="S5:S6"/>
    <mergeCell ref="BS5:BS6"/>
    <mergeCell ref="EG5:EG6"/>
    <mergeCell ref="AL5:AL6"/>
    <mergeCell ref="EF5:EF6"/>
    <mergeCell ref="EC5:EC6"/>
    <mergeCell ref="EE5:EE6"/>
    <mergeCell ref="N5:N6"/>
    <mergeCell ref="BX5:BX6"/>
    <mergeCell ref="AM5:AM6"/>
    <mergeCell ref="BK5:BK6"/>
    <mergeCell ref="AX5:AX6"/>
    <mergeCell ref="BB5:BB6"/>
    <mergeCell ref="BG5:BG6"/>
    <mergeCell ref="BU5:BU6"/>
    <mergeCell ref="U5:U6"/>
    <mergeCell ref="AC5:AC6"/>
    <mergeCell ref="B3:C3"/>
    <mergeCell ref="E5:E6"/>
    <mergeCell ref="H5:H6"/>
    <mergeCell ref="DW5:DW6"/>
    <mergeCell ref="BD5:BD6"/>
    <mergeCell ref="BE5:BE6"/>
    <mergeCell ref="BQ5:BQ6"/>
    <mergeCell ref="BI5:BI6"/>
    <mergeCell ref="DR5:DR6"/>
    <mergeCell ref="DQ5:DQ6"/>
    <mergeCell ref="A2:C2"/>
    <mergeCell ref="AD5:AD6"/>
    <mergeCell ref="AE5:AE6"/>
    <mergeCell ref="B4:C4"/>
    <mergeCell ref="B5:C5"/>
    <mergeCell ref="D5:D6"/>
    <mergeCell ref="Q5:Q6"/>
    <mergeCell ref="A3:A6"/>
    <mergeCell ref="G5:G6"/>
    <mergeCell ref="J5:J6"/>
    <mergeCell ref="F5:F6"/>
    <mergeCell ref="AQ5:AQ6"/>
    <mergeCell ref="X5:X6"/>
    <mergeCell ref="AO5:AO6"/>
    <mergeCell ref="K5:K6"/>
    <mergeCell ref="L5:L6"/>
    <mergeCell ref="P5:P6"/>
    <mergeCell ref="R5:R6"/>
    <mergeCell ref="M5:M6"/>
    <mergeCell ref="T5:T6"/>
    <mergeCell ref="DU5:DU6"/>
    <mergeCell ref="DI5:DI6"/>
    <mergeCell ref="Y5:Y6"/>
    <mergeCell ref="AB5:AB6"/>
    <mergeCell ref="Z5:Z6"/>
    <mergeCell ref="DH5:DH6"/>
    <mergeCell ref="DB5:DB6"/>
    <mergeCell ref="DT5:DT6"/>
    <mergeCell ref="BV5:BV6"/>
    <mergeCell ref="BW5:BW6"/>
    <mergeCell ref="EN2:EN6"/>
    <mergeCell ref="CI5:CI6"/>
    <mergeCell ref="AP5:AP6"/>
    <mergeCell ref="AG5:AG6"/>
    <mergeCell ref="DV5:DV6"/>
    <mergeCell ref="I5:I6"/>
    <mergeCell ref="AT5:AT6"/>
    <mergeCell ref="AF5:AF6"/>
    <mergeCell ref="AK5:AK6"/>
    <mergeCell ref="AN5:AN6"/>
    <mergeCell ref="CS5:CS6"/>
    <mergeCell ref="DL5:DM6"/>
    <mergeCell ref="CW5:CW6"/>
    <mergeCell ref="DJ5:DJ6"/>
    <mergeCell ref="CY5:CY6"/>
    <mergeCell ref="CZ5:CZ6"/>
    <mergeCell ref="CX5:CX6"/>
    <mergeCell ref="DG5:DG6"/>
    <mergeCell ref="DA5:DA6"/>
    <mergeCell ref="DE5:DE6"/>
  </mergeCells>
  <printOptions horizontalCentered="1" verticalCentered="1"/>
  <pageMargins left="0.1968503937007874" right="0.1968503937007874" top="0" bottom="0" header="0.5118110236220472" footer="0.5118110236220472"/>
  <pageSetup fitToHeight="0" horizontalDpi="600" verticalDpi="600" orientation="portrait" paperSize="9" scale="55" r:id="rId1"/>
  <headerFooter alignWithMargins="0">
    <oddHeader>&amp;C2019. évi költségvetés&amp;R&amp;A</oddHeader>
    <oddFooter>&amp;C&amp;P/&amp;N</oddFooter>
  </headerFooter>
  <colBreaks count="34" manualBreakCount="34">
    <brk id="7" max="49" man="1"/>
    <brk id="11" max="49" man="1"/>
    <brk id="15" max="49" man="1"/>
    <brk id="19" max="49" man="1"/>
    <brk id="23" max="49" man="1"/>
    <brk id="27" max="49" man="1"/>
    <brk id="31" max="49" man="1"/>
    <brk id="35" max="49" man="1"/>
    <brk id="39" max="49" man="1"/>
    <brk id="43" max="49" man="1"/>
    <brk id="47" max="49" man="1"/>
    <brk id="51" max="49" man="1"/>
    <brk id="55" max="49" man="1"/>
    <brk id="59" max="49" man="1"/>
    <brk id="63" max="49" man="1"/>
    <brk id="67" max="49" man="1"/>
    <brk id="72" max="49" man="1"/>
    <brk id="76" max="49" man="1"/>
    <brk id="80" max="49" man="1"/>
    <brk id="84" max="49" man="1"/>
    <brk id="88" max="49" man="1"/>
    <brk id="92" max="49" man="1"/>
    <brk id="96" max="49" man="1"/>
    <brk id="100" max="49" man="1"/>
    <brk id="104" max="49" man="1"/>
    <brk id="108" max="49" man="1"/>
    <brk id="112" max="49" man="1"/>
    <brk id="115" max="49" man="1"/>
    <brk id="120" max="49" man="1"/>
    <brk id="124" max="49" man="1"/>
    <brk id="129" max="49" man="1"/>
    <brk id="133" max="49" man="1"/>
    <brk id="137" max="49" man="1"/>
    <brk id="139" max="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tabSelected="1" view="pageBreakPreview" zoomScale="81" zoomScaleSheetLayoutView="8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6.625" style="0" customWidth="1"/>
    <col min="2" max="2" width="70.625" style="0" bestFit="1" customWidth="1"/>
    <col min="4" max="4" width="17.75390625" style="0" customWidth="1"/>
    <col min="5" max="5" width="17.875" style="0" customWidth="1"/>
    <col min="6" max="7" width="18.125" style="0" customWidth="1"/>
    <col min="8" max="8" width="17.375" style="0" customWidth="1"/>
    <col min="9" max="9" width="18.25390625" style="0" customWidth="1"/>
    <col min="10" max="10" width="10.75390625" style="0" bestFit="1" customWidth="1"/>
  </cols>
  <sheetData>
    <row r="1" spans="1:9" ht="12.75">
      <c r="A1" s="416"/>
      <c r="B1" s="416"/>
      <c r="C1" s="422"/>
      <c r="D1" s="414"/>
      <c r="E1" s="414"/>
      <c r="F1" s="413"/>
      <c r="G1" s="413"/>
      <c r="H1" s="414"/>
      <c r="I1" s="424" t="s">
        <v>541</v>
      </c>
    </row>
    <row r="2" spans="1:9" ht="30" customHeight="1">
      <c r="A2" s="1228" t="s">
        <v>176</v>
      </c>
      <c r="B2" s="1229"/>
      <c r="C2" s="1230"/>
      <c r="D2" s="1231" t="s">
        <v>925</v>
      </c>
      <c r="E2" s="1232"/>
      <c r="F2" s="1232"/>
      <c r="G2" s="1232"/>
      <c r="H2" s="1232"/>
      <c r="I2" s="1232"/>
    </row>
    <row r="3" spans="1:9" ht="135.75" customHeight="1">
      <c r="A3" s="1233" t="s">
        <v>244</v>
      </c>
      <c r="B3" s="1224" t="s">
        <v>302</v>
      </c>
      <c r="C3" s="1224"/>
      <c r="D3" s="409" t="s">
        <v>603</v>
      </c>
      <c r="E3" s="409" t="s">
        <v>593</v>
      </c>
      <c r="F3" s="409" t="s">
        <v>593</v>
      </c>
      <c r="G3" s="410" t="s">
        <v>412</v>
      </c>
      <c r="H3" s="409" t="s">
        <v>411</v>
      </c>
      <c r="I3" s="1235" t="s">
        <v>178</v>
      </c>
    </row>
    <row r="4" spans="1:9" ht="31.5" customHeight="1">
      <c r="A4" s="1233"/>
      <c r="B4" s="1224" t="s">
        <v>12</v>
      </c>
      <c r="C4" s="1224"/>
      <c r="D4" s="409" t="s">
        <v>280</v>
      </c>
      <c r="E4" s="409" t="s">
        <v>280</v>
      </c>
      <c r="F4" s="409" t="s">
        <v>280</v>
      </c>
      <c r="G4" s="409" t="s">
        <v>280</v>
      </c>
      <c r="H4" s="410" t="s">
        <v>280</v>
      </c>
      <c r="I4" s="1235"/>
    </row>
    <row r="5" spans="1:9" ht="23.25" customHeight="1">
      <c r="A5" s="1233"/>
      <c r="B5" s="1188" t="s">
        <v>1308</v>
      </c>
      <c r="C5" s="1188"/>
      <c r="D5" s="1225" t="s">
        <v>492</v>
      </c>
      <c r="E5" s="1225" t="s">
        <v>778</v>
      </c>
      <c r="F5" s="1225" t="s">
        <v>777</v>
      </c>
      <c r="G5" s="1225" t="s">
        <v>867</v>
      </c>
      <c r="H5" s="1236" t="s">
        <v>617</v>
      </c>
      <c r="I5" s="1235"/>
    </row>
    <row r="6" spans="1:9" ht="63.75" customHeight="1">
      <c r="A6" s="1233"/>
      <c r="B6" s="412" t="s">
        <v>245</v>
      </c>
      <c r="C6" s="411" t="s">
        <v>303</v>
      </c>
      <c r="D6" s="1225"/>
      <c r="E6" s="1225"/>
      <c r="F6" s="1225"/>
      <c r="G6" s="1225"/>
      <c r="H6" s="1237"/>
      <c r="I6" s="1235"/>
    </row>
    <row r="7" spans="1:9" ht="15.75">
      <c r="A7" s="408" t="s">
        <v>246</v>
      </c>
      <c r="B7" s="407" t="s">
        <v>247</v>
      </c>
      <c r="C7" s="407" t="s">
        <v>248</v>
      </c>
      <c r="D7" s="423" t="s">
        <v>249</v>
      </c>
      <c r="E7" s="423" t="s">
        <v>250</v>
      </c>
      <c r="F7" s="423" t="s">
        <v>251</v>
      </c>
      <c r="G7" s="423" t="s">
        <v>252</v>
      </c>
      <c r="H7" s="423" t="s">
        <v>253</v>
      </c>
      <c r="I7" s="423" t="s">
        <v>254</v>
      </c>
    </row>
    <row r="8" spans="1:11" ht="21.75" customHeight="1">
      <c r="A8" s="396" t="s">
        <v>246</v>
      </c>
      <c r="B8" s="406" t="s">
        <v>405</v>
      </c>
      <c r="C8" s="420" t="s">
        <v>257</v>
      </c>
      <c r="D8" s="417"/>
      <c r="E8" s="417">
        <v>105645013</v>
      </c>
      <c r="F8" s="417">
        <v>50655318</v>
      </c>
      <c r="G8" s="417"/>
      <c r="H8" s="417"/>
      <c r="I8" s="417">
        <f>D8+E8+F8+H8+G8</f>
        <v>156300331</v>
      </c>
      <c r="J8">
        <v>130218563</v>
      </c>
      <c r="K8" s="430">
        <f>+J8-I8</f>
        <v>-26081768</v>
      </c>
    </row>
    <row r="9" spans="1:11" ht="21.75" customHeight="1">
      <c r="A9" s="396" t="s">
        <v>247</v>
      </c>
      <c r="B9" s="404" t="s">
        <v>258</v>
      </c>
      <c r="C9" s="420" t="s">
        <v>259</v>
      </c>
      <c r="D9" s="417"/>
      <c r="E9" s="417">
        <f>21302229+2100000+100000</f>
        <v>23502229</v>
      </c>
      <c r="F9" s="417">
        <v>10206779</v>
      </c>
      <c r="G9" s="417"/>
      <c r="H9" s="417"/>
      <c r="I9" s="417">
        <f aca="true" t="shared" si="0" ref="I9:I50">D9+E9+F9+H9+G9</f>
        <v>33709008</v>
      </c>
      <c r="J9">
        <v>29557444</v>
      </c>
      <c r="K9" s="430">
        <f>+J9-I9</f>
        <v>-4151564</v>
      </c>
    </row>
    <row r="10" spans="1:11" ht="21.75" customHeight="1">
      <c r="A10" s="396" t="s">
        <v>248</v>
      </c>
      <c r="B10" s="404" t="s">
        <v>406</v>
      </c>
      <c r="C10" s="420" t="s">
        <v>260</v>
      </c>
      <c r="D10" s="417"/>
      <c r="E10" s="417">
        <v>15027500</v>
      </c>
      <c r="F10" s="417">
        <f>7417500+5727</f>
        <v>7423227</v>
      </c>
      <c r="G10" s="417">
        <v>63500</v>
      </c>
      <c r="H10" s="417"/>
      <c r="I10" s="417">
        <f t="shared" si="0"/>
        <v>22514227</v>
      </c>
      <c r="K10" s="430">
        <f>SUM(K8:K9)</f>
        <v>-30233332</v>
      </c>
    </row>
    <row r="11" spans="1:9" ht="21.75" customHeight="1">
      <c r="A11" s="396" t="s">
        <v>249</v>
      </c>
      <c r="B11" s="403" t="s">
        <v>407</v>
      </c>
      <c r="C11" s="420" t="s">
        <v>261</v>
      </c>
      <c r="D11" s="417"/>
      <c r="E11" s="417"/>
      <c r="F11" s="417"/>
      <c r="G11" s="417"/>
      <c r="H11" s="417"/>
      <c r="I11" s="417">
        <f t="shared" si="0"/>
        <v>0</v>
      </c>
    </row>
    <row r="12" spans="1:9" ht="21.75" customHeight="1">
      <c r="A12" s="396" t="s">
        <v>250</v>
      </c>
      <c r="B12" s="403" t="s">
        <v>292</v>
      </c>
      <c r="C12" s="420" t="s">
        <v>262</v>
      </c>
      <c r="D12" s="417">
        <f>SUM(D13:D15)</f>
        <v>0</v>
      </c>
      <c r="E12" s="417">
        <f>SUM(E13:E15)</f>
        <v>0</v>
      </c>
      <c r="F12" s="417">
        <f>SUM(F13:F15)</f>
        <v>0</v>
      </c>
      <c r="G12" s="417"/>
      <c r="H12" s="417">
        <f>SUM(H13:H15)</f>
        <v>0</v>
      </c>
      <c r="I12" s="417">
        <f t="shared" si="0"/>
        <v>0</v>
      </c>
    </row>
    <row r="13" spans="1:9" ht="21.75" customHeight="1">
      <c r="A13" s="396" t="s">
        <v>251</v>
      </c>
      <c r="B13" s="405" t="s">
        <v>159</v>
      </c>
      <c r="C13" s="420"/>
      <c r="D13" s="417"/>
      <c r="E13" s="417"/>
      <c r="F13" s="417"/>
      <c r="G13" s="417"/>
      <c r="H13" s="417"/>
      <c r="I13" s="417">
        <f t="shared" si="0"/>
        <v>0</v>
      </c>
    </row>
    <row r="14" spans="1:9" ht="21.75" customHeight="1">
      <c r="A14" s="396" t="s">
        <v>252</v>
      </c>
      <c r="B14" s="405" t="s">
        <v>148</v>
      </c>
      <c r="C14" s="421"/>
      <c r="D14" s="417"/>
      <c r="E14" s="417"/>
      <c r="F14" s="417"/>
      <c r="G14" s="417"/>
      <c r="H14" s="417"/>
      <c r="I14" s="417">
        <f t="shared" si="0"/>
        <v>0</v>
      </c>
    </row>
    <row r="15" spans="1:9" ht="21.75" customHeight="1">
      <c r="A15" s="396" t="s">
        <v>253</v>
      </c>
      <c r="B15" s="175" t="s">
        <v>738</v>
      </c>
      <c r="C15" s="421"/>
      <c r="D15" s="417"/>
      <c r="E15" s="417"/>
      <c r="F15" s="417"/>
      <c r="G15" s="417"/>
      <c r="H15" s="417"/>
      <c r="I15" s="417">
        <f t="shared" si="0"/>
        <v>0</v>
      </c>
    </row>
    <row r="16" spans="1:9" ht="21.75" customHeight="1">
      <c r="A16" s="396" t="s">
        <v>254</v>
      </c>
      <c r="B16" s="402" t="s">
        <v>299</v>
      </c>
      <c r="C16" s="420" t="s">
        <v>263</v>
      </c>
      <c r="D16" s="417"/>
      <c r="E16" s="417">
        <v>762000</v>
      </c>
      <c r="F16" s="417">
        <v>762000</v>
      </c>
      <c r="G16" s="417"/>
      <c r="H16" s="417"/>
      <c r="I16" s="417">
        <f t="shared" si="0"/>
        <v>1524000</v>
      </c>
    </row>
    <row r="17" spans="1:9" ht="21.75" customHeight="1">
      <c r="A17" s="396" t="s">
        <v>255</v>
      </c>
      <c r="B17" s="403" t="s">
        <v>408</v>
      </c>
      <c r="C17" s="420" t="s">
        <v>264</v>
      </c>
      <c r="D17" s="417"/>
      <c r="E17" s="417"/>
      <c r="F17" s="417"/>
      <c r="G17" s="417"/>
      <c r="H17" s="417"/>
      <c r="I17" s="417">
        <f t="shared" si="0"/>
        <v>0</v>
      </c>
    </row>
    <row r="18" spans="1:9" ht="21.75" customHeight="1">
      <c r="A18" s="396" t="s">
        <v>256</v>
      </c>
      <c r="B18" s="403" t="s">
        <v>293</v>
      </c>
      <c r="C18" s="420" t="s">
        <v>265</v>
      </c>
      <c r="D18" s="417"/>
      <c r="E18" s="417"/>
      <c r="F18" s="417"/>
      <c r="G18" s="417"/>
      <c r="H18" s="417"/>
      <c r="I18" s="417">
        <f t="shared" si="0"/>
        <v>0</v>
      </c>
    </row>
    <row r="19" spans="1:9" ht="21.75" customHeight="1">
      <c r="A19" s="396" t="s">
        <v>283</v>
      </c>
      <c r="B19" s="405" t="s">
        <v>158</v>
      </c>
      <c r="C19" s="420"/>
      <c r="D19" s="417"/>
      <c r="E19" s="417"/>
      <c r="F19" s="417"/>
      <c r="G19" s="417"/>
      <c r="H19" s="417"/>
      <c r="I19" s="417">
        <f t="shared" si="0"/>
        <v>0</v>
      </c>
    </row>
    <row r="20" spans="1:9" ht="21.75" customHeight="1">
      <c r="A20" s="396" t="s">
        <v>284</v>
      </c>
      <c r="B20" s="402" t="s">
        <v>294</v>
      </c>
      <c r="C20" s="420" t="s">
        <v>266</v>
      </c>
      <c r="D20" s="417">
        <f>+D8+D9+D10+D11+D12+D16+D17+D18+D15</f>
        <v>0</v>
      </c>
      <c r="E20" s="417">
        <f>+E8+E9+E10+E11+E12+E16+E17+E18+E15</f>
        <v>144936742</v>
      </c>
      <c r="F20" s="417">
        <f>+F8+F9+F10+F11+F12+F16+F17+F18+F15</f>
        <v>69047324</v>
      </c>
      <c r="G20" s="417">
        <f>+G8+G9+G10+G11+G12+G16+G17+G18+G15</f>
        <v>63500</v>
      </c>
      <c r="H20" s="417">
        <f>+H8+H9+H10+H11+H12+H16+H17+H18+H15</f>
        <v>0</v>
      </c>
      <c r="I20" s="417">
        <f t="shared" si="0"/>
        <v>214047566</v>
      </c>
    </row>
    <row r="21" spans="1:9" ht="21.75" customHeight="1">
      <c r="A21" s="396" t="s">
        <v>285</v>
      </c>
      <c r="B21" s="402" t="s">
        <v>279</v>
      </c>
      <c r="C21" s="420" t="s">
        <v>275</v>
      </c>
      <c r="D21" s="417">
        <f>SUM(D22:D25)</f>
        <v>0</v>
      </c>
      <c r="E21" s="417">
        <f>SUM(E22:E25)</f>
        <v>0</v>
      </c>
      <c r="F21" s="417">
        <f>SUM(F22:F25)</f>
        <v>0</v>
      </c>
      <c r="G21" s="417"/>
      <c r="H21" s="417">
        <f>SUM(H22:H25)</f>
        <v>0</v>
      </c>
      <c r="I21" s="417">
        <f t="shared" si="0"/>
        <v>0</v>
      </c>
    </row>
    <row r="22" spans="1:9" ht="21.75" customHeight="1">
      <c r="A22" s="396" t="s">
        <v>286</v>
      </c>
      <c r="B22" s="177" t="s">
        <v>232</v>
      </c>
      <c r="C22" s="421"/>
      <c r="D22" s="417"/>
      <c r="E22" s="417"/>
      <c r="F22" s="417"/>
      <c r="G22" s="417"/>
      <c r="H22" s="417"/>
      <c r="I22" s="417">
        <f t="shared" si="0"/>
        <v>0</v>
      </c>
    </row>
    <row r="23" spans="1:9" ht="21.75" customHeight="1">
      <c r="A23" s="396" t="s">
        <v>287</v>
      </c>
      <c r="B23" s="401" t="s">
        <v>741</v>
      </c>
      <c r="C23" s="421"/>
      <c r="D23" s="417"/>
      <c r="E23" s="417"/>
      <c r="F23" s="417"/>
      <c r="G23" s="417"/>
      <c r="H23" s="417"/>
      <c r="I23" s="417">
        <f t="shared" si="0"/>
        <v>0</v>
      </c>
    </row>
    <row r="24" spans="1:9" ht="21.75" customHeight="1">
      <c r="A24" s="396" t="s">
        <v>288</v>
      </c>
      <c r="B24" s="401" t="s">
        <v>742</v>
      </c>
      <c r="C24" s="421"/>
      <c r="D24" s="417"/>
      <c r="E24" s="417"/>
      <c r="F24" s="417"/>
      <c r="G24" s="417"/>
      <c r="H24" s="417"/>
      <c r="I24" s="417">
        <f t="shared" si="0"/>
        <v>0</v>
      </c>
    </row>
    <row r="25" spans="1:9" ht="21.75" customHeight="1">
      <c r="A25" s="396" t="s">
        <v>289</v>
      </c>
      <c r="B25" s="401" t="s">
        <v>160</v>
      </c>
      <c r="C25" s="421"/>
      <c r="D25" s="417"/>
      <c r="E25" s="417"/>
      <c r="F25" s="417"/>
      <c r="G25" s="417"/>
      <c r="H25" s="417"/>
      <c r="I25" s="417">
        <f t="shared" si="0"/>
        <v>0</v>
      </c>
    </row>
    <row r="26" spans="1:9" ht="21.75" customHeight="1">
      <c r="A26" s="396" t="s">
        <v>290</v>
      </c>
      <c r="B26" s="510" t="s">
        <v>1408</v>
      </c>
      <c r="C26" s="421"/>
      <c r="D26" s="417"/>
      <c r="E26" s="417"/>
      <c r="F26" s="417"/>
      <c r="G26" s="417"/>
      <c r="H26" s="417"/>
      <c r="I26" s="417"/>
    </row>
    <row r="27" spans="1:9" ht="21.75" customHeight="1">
      <c r="A27" s="396" t="s">
        <v>291</v>
      </c>
      <c r="B27" s="399" t="s">
        <v>33</v>
      </c>
      <c r="C27" s="420"/>
      <c r="D27" s="419">
        <f>+D8+D9+D10+D11+D12+D22+D23</f>
        <v>0</v>
      </c>
      <c r="E27" s="419">
        <f>+E8+E9+E10+E11+E12+E22+E23</f>
        <v>144174742</v>
      </c>
      <c r="F27" s="419">
        <f>+F8+F9+F10+F11+F12+F22+F23</f>
        <v>68285324</v>
      </c>
      <c r="G27" s="419">
        <f>+G8+G9+G10+G11+G12+G22+G23</f>
        <v>63500</v>
      </c>
      <c r="H27" s="419">
        <f>+H8+H9+H10+H11+H12+H22+H23</f>
        <v>0</v>
      </c>
      <c r="I27" s="419">
        <f t="shared" si="0"/>
        <v>212523566</v>
      </c>
    </row>
    <row r="28" spans="1:9" ht="21.75" customHeight="1">
      <c r="A28" s="396" t="s">
        <v>322</v>
      </c>
      <c r="B28" s="399" t="s">
        <v>34</v>
      </c>
      <c r="C28" s="420"/>
      <c r="D28" s="419">
        <f>+D16+D17+D18+D24+D25</f>
        <v>0</v>
      </c>
      <c r="E28" s="419">
        <f>+E16+E17+E18+E24+E25</f>
        <v>762000</v>
      </c>
      <c r="F28" s="419">
        <f>+F16+F17+F18+F24+F25</f>
        <v>762000</v>
      </c>
      <c r="G28" s="419">
        <f>+G16+G17+G18+G24+G25</f>
        <v>0</v>
      </c>
      <c r="H28" s="419">
        <f>+H16+H17+H18+H24+H25</f>
        <v>0</v>
      </c>
      <c r="I28" s="419">
        <f t="shared" si="0"/>
        <v>1524000</v>
      </c>
    </row>
    <row r="29" spans="1:9" ht="21.75" customHeight="1">
      <c r="A29" s="396" t="s">
        <v>323</v>
      </c>
      <c r="B29" s="399" t="s">
        <v>398</v>
      </c>
      <c r="C29" s="420" t="s">
        <v>32</v>
      </c>
      <c r="D29" s="419">
        <f>SUM(D27:D28)</f>
        <v>0</v>
      </c>
      <c r="E29" s="419">
        <f>SUM(E27:E28)</f>
        <v>144936742</v>
      </c>
      <c r="F29" s="419">
        <f>SUM(F27:F28)</f>
        <v>69047324</v>
      </c>
      <c r="G29" s="419">
        <f>SUM(G27:G28)</f>
        <v>63500</v>
      </c>
      <c r="H29" s="419">
        <f>SUM(H27:H28)</f>
        <v>0</v>
      </c>
      <c r="I29" s="419">
        <f t="shared" si="0"/>
        <v>214047566</v>
      </c>
    </row>
    <row r="30" spans="1:9" ht="21.75" customHeight="1">
      <c r="A30" s="396" t="s">
        <v>324</v>
      </c>
      <c r="B30" s="404" t="s">
        <v>54</v>
      </c>
      <c r="C30" s="402" t="s">
        <v>267</v>
      </c>
      <c r="D30" s="417"/>
      <c r="E30" s="417"/>
      <c r="F30" s="417"/>
      <c r="G30" s="417"/>
      <c r="H30" s="417"/>
      <c r="I30" s="417">
        <f t="shared" si="0"/>
        <v>0</v>
      </c>
    </row>
    <row r="31" spans="1:9" ht="21.75" customHeight="1">
      <c r="A31" s="396" t="s">
        <v>325</v>
      </c>
      <c r="B31" s="404" t="s">
        <v>278</v>
      </c>
      <c r="C31" s="402" t="s">
        <v>268</v>
      </c>
      <c r="D31" s="417"/>
      <c r="E31" s="417"/>
      <c r="F31" s="417"/>
      <c r="G31" s="417"/>
      <c r="H31" s="417"/>
      <c r="I31" s="417">
        <f t="shared" si="0"/>
        <v>0</v>
      </c>
    </row>
    <row r="32" spans="1:9" ht="21.75" customHeight="1">
      <c r="A32" s="396" t="s">
        <v>326</v>
      </c>
      <c r="B32" s="404" t="s">
        <v>277</v>
      </c>
      <c r="C32" s="402" t="s">
        <v>269</v>
      </c>
      <c r="D32" s="417"/>
      <c r="E32" s="417"/>
      <c r="F32" s="417"/>
      <c r="G32" s="417"/>
      <c r="H32" s="417"/>
      <c r="I32" s="417">
        <f t="shared" si="0"/>
        <v>0</v>
      </c>
    </row>
    <row r="33" spans="1:9" ht="21.75" customHeight="1">
      <c r="A33" s="396" t="s">
        <v>327</v>
      </c>
      <c r="B33" s="403" t="s">
        <v>0</v>
      </c>
      <c r="C33" s="402" t="s">
        <v>270</v>
      </c>
      <c r="D33" s="417"/>
      <c r="E33" s="417"/>
      <c r="F33" s="417"/>
      <c r="G33" s="417"/>
      <c r="H33" s="417"/>
      <c r="I33" s="417">
        <f t="shared" si="0"/>
        <v>0</v>
      </c>
    </row>
    <row r="34" spans="1:9" ht="21.75" customHeight="1">
      <c r="A34" s="396" t="s">
        <v>328</v>
      </c>
      <c r="B34" s="404" t="s">
        <v>300</v>
      </c>
      <c r="C34" s="402" t="s">
        <v>271</v>
      </c>
      <c r="D34" s="417"/>
      <c r="E34" s="417"/>
      <c r="F34" s="417"/>
      <c r="G34" s="417"/>
      <c r="H34" s="417"/>
      <c r="I34" s="417">
        <f t="shared" si="0"/>
        <v>0</v>
      </c>
    </row>
    <row r="35" spans="1:9" ht="21.75" customHeight="1">
      <c r="A35" s="396" t="s">
        <v>329</v>
      </c>
      <c r="B35" s="404" t="s">
        <v>295</v>
      </c>
      <c r="C35" s="402" t="s">
        <v>272</v>
      </c>
      <c r="D35" s="417"/>
      <c r="E35" s="417"/>
      <c r="F35" s="417"/>
      <c r="G35" s="417"/>
      <c r="H35" s="417"/>
      <c r="I35" s="417">
        <f t="shared" si="0"/>
        <v>0</v>
      </c>
    </row>
    <row r="36" spans="1:9" ht="21.75" customHeight="1">
      <c r="A36" s="396" t="s">
        <v>330</v>
      </c>
      <c r="B36" s="404" t="s">
        <v>296</v>
      </c>
      <c r="C36" s="402" t="s">
        <v>273</v>
      </c>
      <c r="D36" s="417"/>
      <c r="E36" s="417"/>
      <c r="F36" s="417"/>
      <c r="G36" s="417"/>
      <c r="H36" s="417"/>
      <c r="I36" s="417">
        <f t="shared" si="0"/>
        <v>0</v>
      </c>
    </row>
    <row r="37" spans="1:9" ht="21.75" customHeight="1">
      <c r="A37" s="396" t="s">
        <v>331</v>
      </c>
      <c r="B37" s="403" t="s">
        <v>297</v>
      </c>
      <c r="C37" s="402" t="s">
        <v>274</v>
      </c>
      <c r="D37" s="417">
        <f>+D30+D31+D32+D33+D34+D35+D36</f>
        <v>0</v>
      </c>
      <c r="E37" s="417">
        <f>+E30+E31+E32+E33+E34+E35+E36</f>
        <v>0</v>
      </c>
      <c r="F37" s="417">
        <f>+F30+F31+F32+F33+F34+F35+F36</f>
        <v>0</v>
      </c>
      <c r="G37" s="417"/>
      <c r="H37" s="417">
        <f>+H30+H31+H32+H33+H34+H35+H36</f>
        <v>0</v>
      </c>
      <c r="I37" s="417">
        <f t="shared" si="0"/>
        <v>0</v>
      </c>
    </row>
    <row r="38" spans="1:9" ht="21.75" customHeight="1">
      <c r="A38" s="396" t="s">
        <v>332</v>
      </c>
      <c r="B38" s="402" t="s">
        <v>298</v>
      </c>
      <c r="C38" s="420" t="s">
        <v>276</v>
      </c>
      <c r="D38" s="417">
        <f>SUM(D40:D44)</f>
        <v>214047566</v>
      </c>
      <c r="E38" s="417">
        <f>SUM(E40:E44)</f>
        <v>0</v>
      </c>
      <c r="F38" s="417">
        <f>SUM(F40:F44)</f>
        <v>0</v>
      </c>
      <c r="G38" s="417">
        <f>SUM(G40:G44)</f>
        <v>0</v>
      </c>
      <c r="H38" s="417">
        <f>SUM(H40:H44)</f>
        <v>0</v>
      </c>
      <c r="I38" s="417">
        <f t="shared" si="0"/>
        <v>214047566</v>
      </c>
    </row>
    <row r="39" spans="1:9" ht="21.75" customHeight="1">
      <c r="A39" s="396" t="s">
        <v>333</v>
      </c>
      <c r="B39" s="177" t="s">
        <v>770</v>
      </c>
      <c r="C39" s="420"/>
      <c r="D39" s="417"/>
      <c r="E39" s="417"/>
      <c r="F39" s="417"/>
      <c r="G39" s="417"/>
      <c r="H39" s="417"/>
      <c r="I39" s="417">
        <f t="shared" si="0"/>
        <v>0</v>
      </c>
    </row>
    <row r="40" spans="1:9" ht="21.75" customHeight="1">
      <c r="A40" s="396" t="s">
        <v>334</v>
      </c>
      <c r="B40" s="401" t="s">
        <v>713</v>
      </c>
      <c r="C40" s="421"/>
      <c r="D40" s="417"/>
      <c r="E40" s="417"/>
      <c r="F40" s="417"/>
      <c r="G40" s="417"/>
      <c r="H40" s="417"/>
      <c r="I40" s="417">
        <f t="shared" si="0"/>
        <v>0</v>
      </c>
    </row>
    <row r="41" spans="1:9" ht="21.75" customHeight="1">
      <c r="A41" s="396" t="s">
        <v>341</v>
      </c>
      <c r="B41" s="401" t="s">
        <v>714</v>
      </c>
      <c r="C41" s="421"/>
      <c r="D41" s="417"/>
      <c r="E41" s="417"/>
      <c r="F41" s="417"/>
      <c r="G41" s="417"/>
      <c r="H41" s="417"/>
      <c r="I41" s="417">
        <f t="shared" si="0"/>
        <v>0</v>
      </c>
    </row>
    <row r="42" spans="1:9" ht="21.75" customHeight="1">
      <c r="A42" s="396" t="s">
        <v>342</v>
      </c>
      <c r="B42" s="401" t="s">
        <v>715</v>
      </c>
      <c r="C42" s="421"/>
      <c r="D42" s="417">
        <f>+I27-I30-I32-I33-I35-I40</f>
        <v>212523566</v>
      </c>
      <c r="E42" s="417"/>
      <c r="F42" s="417"/>
      <c r="G42" s="417"/>
      <c r="H42" s="417"/>
      <c r="I42" s="417">
        <f t="shared" si="0"/>
        <v>212523566</v>
      </c>
    </row>
    <row r="43" spans="1:9" ht="21.75" customHeight="1">
      <c r="A43" s="396" t="s">
        <v>343</v>
      </c>
      <c r="B43" s="401" t="s">
        <v>716</v>
      </c>
      <c r="C43" s="421"/>
      <c r="D43" s="417">
        <f>+I28-I31-I34-I36-I41</f>
        <v>1524000</v>
      </c>
      <c r="E43" s="417"/>
      <c r="F43" s="417"/>
      <c r="G43" s="417"/>
      <c r="H43" s="417"/>
      <c r="I43" s="417">
        <f t="shared" si="0"/>
        <v>1524000</v>
      </c>
    </row>
    <row r="44" spans="1:9" ht="21.75" customHeight="1">
      <c r="A44" s="396" t="s">
        <v>344</v>
      </c>
      <c r="B44" s="177" t="s">
        <v>769</v>
      </c>
      <c r="C44" s="421"/>
      <c r="D44" s="417"/>
      <c r="E44" s="417"/>
      <c r="F44" s="417"/>
      <c r="G44" s="417"/>
      <c r="H44" s="417"/>
      <c r="I44" s="417">
        <f t="shared" si="0"/>
        <v>0</v>
      </c>
    </row>
    <row r="45" spans="1:9" ht="21.75" customHeight="1">
      <c r="A45" s="396" t="s">
        <v>345</v>
      </c>
      <c r="B45" s="177" t="s">
        <v>1409</v>
      </c>
      <c r="C45" s="421"/>
      <c r="D45" s="417"/>
      <c r="E45" s="417"/>
      <c r="F45" s="417"/>
      <c r="G45" s="417"/>
      <c r="H45" s="417"/>
      <c r="I45" s="417"/>
    </row>
    <row r="46" spans="1:9" ht="21.75" customHeight="1">
      <c r="A46" s="396" t="s">
        <v>346</v>
      </c>
      <c r="B46" s="399" t="s">
        <v>145</v>
      </c>
      <c r="C46" s="420"/>
      <c r="D46" s="419">
        <f>+D30+D32+D33+D35+D40+D42</f>
        <v>212523566</v>
      </c>
      <c r="E46" s="419">
        <f>+E30+E32+E33+E35+E40+E42</f>
        <v>0</v>
      </c>
      <c r="F46" s="419">
        <f>+F30+F32+F33+F35+F40+F42</f>
        <v>0</v>
      </c>
      <c r="G46" s="419">
        <f>+G30+G32+G33+G35+G40+G42</f>
        <v>0</v>
      </c>
      <c r="H46" s="419">
        <f>+H30+H32+H33+H35+H40+H42</f>
        <v>0</v>
      </c>
      <c r="I46" s="419">
        <f t="shared" si="0"/>
        <v>212523566</v>
      </c>
    </row>
    <row r="47" spans="1:9" ht="21.75" customHeight="1">
      <c r="A47" s="396" t="s">
        <v>347</v>
      </c>
      <c r="B47" s="399" t="s">
        <v>146</v>
      </c>
      <c r="C47" s="420"/>
      <c r="D47" s="419">
        <f>+D31+D34+D36+D41+D428+D44+D43</f>
        <v>1524000</v>
      </c>
      <c r="E47" s="419">
        <f>+E31+E34+E36+E41+E428+E44+E43</f>
        <v>0</v>
      </c>
      <c r="F47" s="419">
        <f>+F31+F34+F36+F41+F428+F44+F43</f>
        <v>0</v>
      </c>
      <c r="G47" s="419">
        <f>+G31+G34+G36+G41+G428+G44+G43</f>
        <v>0</v>
      </c>
      <c r="H47" s="419">
        <f>+H31+H34+H36+H41+H428+H44+H43</f>
        <v>0</v>
      </c>
      <c r="I47" s="419">
        <f t="shared" si="0"/>
        <v>1524000</v>
      </c>
    </row>
    <row r="48" spans="1:9" ht="21.75" customHeight="1">
      <c r="A48" s="396" t="s">
        <v>348</v>
      </c>
      <c r="B48" s="399" t="s">
        <v>399</v>
      </c>
      <c r="C48" s="420"/>
      <c r="D48" s="419">
        <f>+D46+D47</f>
        <v>214047566</v>
      </c>
      <c r="E48" s="419">
        <f>+E46+E47</f>
        <v>0</v>
      </c>
      <c r="F48" s="419">
        <f>+F46+F47</f>
        <v>0</v>
      </c>
      <c r="G48" s="419">
        <f>+G46+G47</f>
        <v>0</v>
      </c>
      <c r="H48" s="419">
        <f>+H46+H47</f>
        <v>0</v>
      </c>
      <c r="I48" s="419">
        <f t="shared" si="0"/>
        <v>214047566</v>
      </c>
    </row>
    <row r="49" spans="1:9" ht="21.75" customHeight="1">
      <c r="A49" s="396" t="s">
        <v>349</v>
      </c>
      <c r="B49" s="90" t="s">
        <v>551</v>
      </c>
      <c r="C49" s="418"/>
      <c r="D49" s="417"/>
      <c r="E49" s="417">
        <f>'12.sz.mell. Létszámtábla'!C24</f>
        <v>15</v>
      </c>
      <c r="F49" s="417">
        <f>'12.sz.mell. Létszámtábla'!C25</f>
        <v>26</v>
      </c>
      <c r="G49" s="417"/>
      <c r="H49" s="417">
        <v>0</v>
      </c>
      <c r="I49" s="417">
        <f t="shared" si="0"/>
        <v>41</v>
      </c>
    </row>
    <row r="50" spans="1:9" ht="21.75" customHeight="1">
      <c r="A50" s="396" t="s">
        <v>350</v>
      </c>
      <c r="B50" s="90" t="s">
        <v>899</v>
      </c>
      <c r="C50" s="418"/>
      <c r="D50" s="417"/>
      <c r="E50" s="394"/>
      <c r="F50" s="394"/>
      <c r="G50" s="394"/>
      <c r="H50" s="417"/>
      <c r="I50" s="417">
        <f t="shared" si="0"/>
        <v>0</v>
      </c>
    </row>
  </sheetData>
  <sheetProtection/>
  <mergeCells count="12">
    <mergeCell ref="A2:C2"/>
    <mergeCell ref="A3:A6"/>
    <mergeCell ref="B3:C3"/>
    <mergeCell ref="B4:C4"/>
    <mergeCell ref="B5:C5"/>
    <mergeCell ref="I3:I6"/>
    <mergeCell ref="D5:D6"/>
    <mergeCell ref="H5:H6"/>
    <mergeCell ref="F5:F6"/>
    <mergeCell ref="G5:G6"/>
    <mergeCell ref="E5:E6"/>
    <mergeCell ref="D2:I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50" r:id="rId1"/>
  <headerFooter>
    <oddHeader>&amp;C2019. évi költségvetés&amp;R&amp;A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U54"/>
  <sheetViews>
    <sheetView view="pageBreakPreview" zoomScale="80" zoomScaleSheetLayoutView="80" workbookViewId="0" topLeftCell="A1">
      <pane xSplit="3" ySplit="7" topLeftCell="D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7.00390625" style="41" customWidth="1"/>
    <col min="2" max="2" width="65.75390625" style="41" customWidth="1"/>
    <col min="3" max="3" width="7.875" style="41" customWidth="1"/>
    <col min="4" max="4" width="18.25390625" style="4" customWidth="1"/>
    <col min="5" max="6" width="16.375" style="4" customWidth="1"/>
    <col min="7" max="7" width="19.125" style="4" customWidth="1"/>
    <col min="8" max="8" width="14.75390625" style="41" customWidth="1"/>
    <col min="9" max="9" width="17.125" style="41" customWidth="1"/>
    <col min="10" max="10" width="17.375" style="41" bestFit="1" customWidth="1"/>
    <col min="11" max="16384" width="9.125" style="41" customWidth="1"/>
  </cols>
  <sheetData>
    <row r="1" spans="1:7" ht="15.75">
      <c r="A1" s="376"/>
      <c r="B1" s="376"/>
      <c r="C1" s="376"/>
      <c r="G1" s="63" t="s">
        <v>541</v>
      </c>
    </row>
    <row r="2" spans="1:7" ht="25.5" customHeight="1">
      <c r="A2" s="1204" t="s">
        <v>176</v>
      </c>
      <c r="B2" s="1204"/>
      <c r="C2" s="1204"/>
      <c r="D2" s="1176" t="s">
        <v>189</v>
      </c>
      <c r="E2" s="1176"/>
      <c r="F2" s="1176"/>
      <c r="G2" s="1176"/>
    </row>
    <row r="3" spans="1:7" s="44" customFormat="1" ht="27" customHeight="1">
      <c r="A3" s="1203" t="s">
        <v>244</v>
      </c>
      <c r="B3" s="1204" t="s">
        <v>302</v>
      </c>
      <c r="C3" s="1204"/>
      <c r="D3" s="1176"/>
      <c r="E3" s="1176"/>
      <c r="F3" s="1176"/>
      <c r="G3" s="1176"/>
    </row>
    <row r="4" spans="1:7" s="44" customFormat="1" ht="27.75" customHeight="1">
      <c r="A4" s="1203"/>
      <c r="B4" s="1204" t="s">
        <v>12</v>
      </c>
      <c r="C4" s="1204"/>
      <c r="D4" s="1238" t="s">
        <v>336</v>
      </c>
      <c r="E4" s="1238"/>
      <c r="F4" s="1238"/>
      <c r="G4" s="1238"/>
    </row>
    <row r="5" spans="1:7" s="44" customFormat="1" ht="26.25" customHeight="1">
      <c r="A5" s="1203"/>
      <c r="B5" s="1188" t="s">
        <v>1308</v>
      </c>
      <c r="C5" s="1188"/>
      <c r="D5" s="1238"/>
      <c r="E5" s="1238"/>
      <c r="F5" s="1238"/>
      <c r="G5" s="1238"/>
    </row>
    <row r="6" spans="1:7" ht="52.5" customHeight="1">
      <c r="A6" s="1203"/>
      <c r="B6" s="45" t="s">
        <v>245</v>
      </c>
      <c r="C6" s="248" t="s">
        <v>303</v>
      </c>
      <c r="D6" s="40" t="s">
        <v>280</v>
      </c>
      <c r="E6" s="40" t="s">
        <v>397</v>
      </c>
      <c r="F6" s="40" t="s">
        <v>282</v>
      </c>
      <c r="G6" s="40" t="s">
        <v>301</v>
      </c>
    </row>
    <row r="7" spans="1:7" ht="15.75">
      <c r="A7" s="47" t="s">
        <v>246</v>
      </c>
      <c r="B7" s="48" t="s">
        <v>247</v>
      </c>
      <c r="C7" s="48" t="s">
        <v>248</v>
      </c>
      <c r="D7" s="48" t="s">
        <v>249</v>
      </c>
      <c r="E7" s="48" t="s">
        <v>250</v>
      </c>
      <c r="F7" s="48" t="s">
        <v>251</v>
      </c>
      <c r="G7" s="48" t="s">
        <v>252</v>
      </c>
    </row>
    <row r="8" spans="1:9" ht="23.25" customHeight="1">
      <c r="A8" s="49" t="s">
        <v>246</v>
      </c>
      <c r="B8" s="46" t="s">
        <v>405</v>
      </c>
      <c r="C8" s="50" t="s">
        <v>257</v>
      </c>
      <c r="D8" s="8">
        <f>SUMIF('2.1. sz. PMH'!$D$4:$L$4,"kötelező",'2.1. sz. PMH'!D8:L8)+SUMIF('2.2. sz. Hétszínvirág Óvoda'!$D$4:$G$4,"kötelező",'2.2. sz. Hétszínvirág Óvoda'!D8:G8)+SUMIF('2.3. sz. Mese Óvoda'!$D$4:$I$4,"kötelező",'2.3. sz. Mese Óvoda'!D8:I8)+SUMIF('2.4. sz. Bölcsőde'!$D$4:$H$4,"kötelező",'2.4. sz. Bölcsőde'!D8:H8)+SUMIF('2.5. sz. Gyermekjóléti'!$D$4:$J$4,"kötelező",'2.5. sz. Gyermekjóléti'!D8:J8)+SUMIF('2.6 sz. Területi'!$D$4:$V$4,"kötelező",'2.6 sz. Területi'!D8:V8)+SUMIF('2.7. sz. Könyvtár'!$D$4:$K$4,"kötelező",'2.7. sz. Könyvtár'!D8:K8)+SUMIF('2.8. sz. Műv.Ház'!$D$4:$J$4,"kötelező",'2.8. sz. Műv.Ház'!D8:J8)+SUMIF('2.9. sz. Szivárvány Ó.'!$D$4:$H$4,"kötelező",'2.9. sz. Szivárvány Ó.'!D8:H8)</f>
        <v>1360203047</v>
      </c>
      <c r="E8" s="8">
        <f>SUMIF('2.1. sz. PMH'!$D$4:$L$4,"önként vállalt",'2.1. sz. PMH'!D8:L8)+SUMIF('2.2. sz. Hétszínvirág Óvoda'!$D$4:$G$4,"önként vállalt",'2.2. sz. Hétszínvirág Óvoda'!D8:G8)+SUMIF('2.3. sz. Mese Óvoda'!$D$4:$I$4,"önként vállalt",'2.3. sz. Mese Óvoda'!D8:I8)+SUMIF('2.4. sz. Bölcsőde'!$D$4:$H$4,"önként vállalt",'2.4. sz. Bölcsőde'!D8:H8)+SUMIF('2.5. sz. Gyermekjóléti'!$D$4:$J$4,"önként vállalt",'2.5. sz. Gyermekjóléti'!D8:J8)+SUMIF('2.6 sz. Területi'!$D$4:$V$4,"önként vállalt",'2.6 sz. Területi'!D8:V8)+SUMIF('2.7. sz. Könyvtár'!$D$4:$K$4,"önként vállalt",'2.7. sz. Könyvtár'!D8:K8)+SUMIF('2.8. sz. Műv.Ház'!$D$4:$J$4,"önként vállalt",'2.8. sz. Műv.Ház'!D8:J8)+SUMIF('2.9. sz. Szivárvány Ó.'!$D$4:$H$4,"önként vállalt",'2.9. sz. Szivárvány Ó.'!D8:H8)</f>
        <v>17838252</v>
      </c>
      <c r="F8" s="8">
        <f>SUMIF('2.1. sz. PMH'!$D$4:$L$4,"államigazgatási",'2.1. sz. PMH'!D8:L8)+SUMIF('2.2. sz. Hétszínvirág Óvoda'!$D$4:$G$4,"államigazgatási",'2.2. sz. Hétszínvirág Óvoda'!D8:G8)+SUMIF('2.3. sz. Mese Óvoda'!$D$4:$I$4,"államigazgatási",'2.3. sz. Mese Óvoda'!D8:I8)+SUMIF('2.4. sz. Bölcsőde'!$D$4:$H$4,"államigazgatási",'2.4. sz. Bölcsőde'!D8:H8)+SUMIF('2.5. sz. Gyermekjóléti'!$D$4:$J$4,"államigazgatási",'2.5. sz. Gyermekjóléti'!D8:J8)+SUMIF('2.6 sz. Területi'!$D$4:$V$4,"államigazgatási",'2.6 sz. Területi'!D8:V8)+SUMIF('2.7. sz. Könyvtár'!$D$4:$K$4,"államigazgatási",'2.7. sz. Könyvtár'!D8:K8)+SUMIF('2.8. sz. Műv.Ház'!$D$4:$J$4,"államigazgatási",'2.8. sz. Műv.Ház'!D8:J8)+SUMIF('2.9. sz. Szivárvány Ó.'!$D$4:$H$4,"államigazgatási",'2.9. sz. Szivárvány Ó.'!D8:H8)</f>
        <v>53829580</v>
      </c>
      <c r="G8" s="8">
        <f>+D8+E8+F8</f>
        <v>1431870879</v>
      </c>
      <c r="H8" s="166">
        <f>'2.1. sz. PMH'!M8+'2.2. sz. Hétszínvirág Óvoda'!H8+'2.3. sz. Mese Óvoda'!I8+'2.4. sz. Bölcsőde'!I8+'2.5. sz. Gyermekjóléti'!K8+'2.6 sz. Területi'!W8+'2.7. sz. Könyvtár'!K8</f>
        <v>1235555767</v>
      </c>
      <c r="I8" s="165">
        <f>H8-G8</f>
        <v>-196315112</v>
      </c>
    </row>
    <row r="9" spans="1:9" ht="23.25" customHeight="1">
      <c r="A9" s="49" t="s">
        <v>247</v>
      </c>
      <c r="B9" s="51" t="s">
        <v>258</v>
      </c>
      <c r="C9" s="50" t="s">
        <v>259</v>
      </c>
      <c r="D9" s="8">
        <f>SUMIF('2.1. sz. PMH'!$D$4:$L$4,"kötelező",'2.1. sz. PMH'!D9:L9)+SUMIF('2.2. sz. Hétszínvirág Óvoda'!$D$4:$G$4,"kötelező",'2.2. sz. Hétszínvirág Óvoda'!D9:G9)+SUMIF('2.3. sz. Mese Óvoda'!$D$4:$I$4,"kötelező",'2.3. sz. Mese Óvoda'!D9:I9)+SUMIF('2.4. sz. Bölcsőde'!$D$4:$H$4,"kötelező",'2.4. sz. Bölcsőde'!D9:H9)+SUMIF('2.5. sz. Gyermekjóléti'!$D$4:$J$4,"kötelező",'2.5. sz. Gyermekjóléti'!D9:J9)+SUMIF('2.6 sz. Területi'!$D$4:$V$4,"kötelező",'2.6 sz. Területi'!D9:V9)+SUMIF('2.7. sz. Könyvtár'!$D$4:$K$4,"kötelező",'2.7. sz. Könyvtár'!D9:K9)+SUMIF('2.8. sz. Műv.Ház'!$D$4:$J$4,"kötelező",'2.8. sz. Műv.Ház'!D9:J9)+SUMIF('2.9. sz. Szivárvány Ó.'!$D$4:$H$4,"kötelező",'2.9. sz. Szivárvány Ó.'!D9:H9)</f>
        <v>296291927</v>
      </c>
      <c r="E9" s="8">
        <f>SUMIF('2.1. sz. PMH'!$D$4:$L$4,"önként vállalt",'2.1. sz. PMH'!D9:L9)+SUMIF('2.2. sz. Hétszínvirág Óvoda'!$D$4:$G$4,"önként vállalt",'2.2. sz. Hétszínvirág Óvoda'!D9:G9)+SUMIF('2.3. sz. Mese Óvoda'!$D$4:$I$4,"önként vállalt",'2.3. sz. Mese Óvoda'!D9:I9)+SUMIF('2.4. sz. Bölcsőde'!$D$4:$H$4,"önként vállalt",'2.4. sz. Bölcsőde'!D9:H9)+SUMIF('2.5. sz. Gyermekjóléti'!$D$4:$J$4,"önként vállalt",'2.5. sz. Gyermekjóléti'!D9:J9)+SUMIF('2.6 sz. Területi'!$D$4:$V$4,"önként vállalt",'2.6 sz. Területi'!D9:V9)+SUMIF('2.7. sz. Könyvtár'!$D$4:$K$4,"önként vállalt",'2.7. sz. Könyvtár'!D9:K9)+SUMIF('2.8. sz. Műv.Ház'!$D$4:$J$4,"önként vállalt",'2.8. sz. Műv.Ház'!D9:J9)+SUMIF('2.9. sz. Szivárvány Ó.'!$D$4:$H$4,"önként vállalt",'2.9. sz. Szivárvány Ó.'!D9:H9)</f>
        <v>3588123</v>
      </c>
      <c r="F9" s="8">
        <f>SUMIF('2.1. sz. PMH'!$D$4:$L$4,"államigazgatási",'2.1. sz. PMH'!D9:L9)+SUMIF('2.2. sz. Hétszínvirág Óvoda'!$D$4:$G$4,"államigazgatási",'2.2. sz. Hétszínvirág Óvoda'!D9:G9)+SUMIF('2.3. sz. Mese Óvoda'!$D$4:$I$4,"államigazgatási",'2.3. sz. Mese Óvoda'!D9:I9)+SUMIF('2.4. sz. Bölcsőde'!$D$4:$H$4,"államigazgatási",'2.4. sz. Bölcsőde'!D9:H9)+SUMIF('2.5. sz. Gyermekjóléti'!$D$4:$J$4,"államigazgatási",'2.5. sz. Gyermekjóléti'!D9:J9)+SUMIF('2.6 sz. Területi'!$D$4:$V$4,"államigazgatási",'2.6 sz. Területi'!D9:V9)+SUMIF('2.7. sz. Könyvtár'!$D$4:$K$4,"államigazgatási",'2.7. sz. Könyvtár'!D9:K9)+SUMIF('2.8. sz. Műv.Ház'!$D$4:$J$4,"államigazgatási",'2.8. sz. Műv.Ház'!D9:J9)+SUMIF('2.9. sz. Szivárvány Ó.'!$D$4:$H$4,"államigazgatási",'2.9. sz. Szivárvány Ó.'!D9:H9)</f>
        <v>11151831</v>
      </c>
      <c r="G9" s="8">
        <f>+D9+E9+F9</f>
        <v>311031881</v>
      </c>
      <c r="H9" s="166">
        <f>'2.1. sz. PMH'!M9+'2.2. sz. Hétszínvirág Óvoda'!H9+'2.3. sz. Mese Óvoda'!I9+'2.4. sz. Bölcsőde'!I9+'2.5. sz. Gyermekjóléti'!K9+'2.6 sz. Területi'!W9+'2.7. sz. Könyvtár'!K9</f>
        <v>269020543</v>
      </c>
      <c r="I9" s="165">
        <f aca="true" t="shared" si="0" ref="I9:I49">H9-G9</f>
        <v>-42011338</v>
      </c>
    </row>
    <row r="10" spans="1:125" ht="23.25" customHeight="1">
      <c r="A10" s="49" t="s">
        <v>248</v>
      </c>
      <c r="B10" s="51" t="s">
        <v>406</v>
      </c>
      <c r="C10" s="50" t="s">
        <v>260</v>
      </c>
      <c r="D10" s="8">
        <f>SUMIF('2.1. sz. PMH'!$D$4:$L$4,"kötelező",'2.1. sz. PMH'!D10:L10)+SUMIF('2.2. sz. Hétszínvirág Óvoda'!$D$4:$G$4,"kötelező",'2.2. sz. Hétszínvirág Óvoda'!D10:G10)+SUMIF('2.3. sz. Mese Óvoda'!$D$4:$I$4,"kötelező",'2.3. sz. Mese Óvoda'!D10:I10)+SUMIF('2.4. sz. Bölcsőde'!$D$4:$H$4,"kötelező",'2.4. sz. Bölcsőde'!D10:H10)+SUMIF('2.5. sz. Gyermekjóléti'!$D$4:$J$4,"kötelező",'2.5. sz. Gyermekjóléti'!D10:J10)+SUMIF('2.6 sz. Területi'!$D$4:$V$4,"kötelező",'2.6 sz. Területi'!D10:V10)+SUMIF('2.7. sz. Könyvtár'!$D$4:$K$4,"kötelező",'2.7. sz. Könyvtár'!D10:K10)+SUMIF('2.8. sz. Műv.Ház'!$D$4:$J$4,"kötelező",'2.8. sz. Műv.Ház'!D10:J10)+SUMIF('2.9. sz. Szivárvány Ó.'!$D$4:$H$4,"kötelező",'2.9. sz. Szivárvány Ó.'!D10:H10)</f>
        <v>797539629</v>
      </c>
      <c r="E10" s="8">
        <f>SUMIF('2.1. sz. PMH'!$D$4:$L$4,"önként vállalt",'2.1. sz. PMH'!D10:L10)+SUMIF('2.2. sz. Hétszínvirág Óvoda'!$D$4:$G$4,"önként vállalt",'2.2. sz. Hétszínvirág Óvoda'!D10:G10)+SUMIF('2.3. sz. Mese Óvoda'!$D$4:$I$4,"önként vállalt",'2.3. sz. Mese Óvoda'!D10:I10)+SUMIF('2.4. sz. Bölcsőde'!$D$4:$H$4,"önként vállalt",'2.4. sz. Bölcsőde'!D10:H10)+SUMIF('2.5. sz. Gyermekjóléti'!$D$4:$J$4,"önként vállalt",'2.5. sz. Gyermekjóléti'!D10:J10)+SUMIF('2.6 sz. Területi'!$D$4:$V$4,"önként vállalt",'2.6 sz. Területi'!D10:V10)+SUMIF('2.7. sz. Könyvtár'!$D$4:$K$4,"önként vállalt",'2.7. sz. Könyvtár'!D10:K10)+SUMIF('2.8. sz. Műv.Ház'!$D$4:$J$4,"önként vállalt",'2.8. sz. Műv.Ház'!D10:J10)+SUMIF('2.9. sz. Szivárvány Ó.'!$D$4:$H$4,"önként vállalt",'2.9. sz. Szivárvány Ó.'!D10:H10)</f>
        <v>3624951</v>
      </c>
      <c r="F10" s="8">
        <f>SUMIF('2.1. sz. PMH'!$D$4:$L$4,"államigazgatási",'2.1. sz. PMH'!D10:L10)+SUMIF('2.2. sz. Hétszínvirág Óvoda'!$D$4:$G$4,"államigazgatási",'2.2. sz. Hétszínvirág Óvoda'!D10:G10)+SUMIF('2.3. sz. Mese Óvoda'!$D$4:$I$4,"államigazgatási",'2.3. sz. Mese Óvoda'!D10:I10)+SUMIF('2.4. sz. Bölcsőde'!$D$4:$H$4,"államigazgatási",'2.4. sz. Bölcsőde'!D10:H10)+SUMIF('2.5. sz. Gyermekjóléti'!$D$4:$J$4,"államigazgatási",'2.5. sz. Gyermekjóléti'!D10:J10)+SUMIF('2.6 sz. Területi'!$D$4:$V$4,"államigazgatási",'2.6 sz. Területi'!D10:V10)+SUMIF('2.7. sz. Könyvtár'!$D$4:$K$4,"államigazgatási",'2.7. sz. Könyvtár'!D10:K10)+SUMIF('2.8. sz. Műv.Ház'!$D$4:$J$4,"államigazgatási",'2.8. sz. Műv.Ház'!D10:J10)+SUMIF('2.9. sz. Szivárvány Ó.'!$D$4:$H$4,"államigazgatási",'2.9. sz. Szivárvány Ó.'!D10:H10)</f>
        <v>16846200</v>
      </c>
      <c r="G10" s="8">
        <f>+D10+E10+F10</f>
        <v>818010780</v>
      </c>
      <c r="H10" s="166">
        <f>'2.1. sz. PMH'!M10+'2.2. sz. Hétszínvirág Óvoda'!H10+'2.3. sz. Mese Óvoda'!I10+'2.4. sz. Bölcsőde'!I10+'2.5. sz. Gyermekjóléti'!K10+'2.6 sz. Területi'!W10+'2.7. sz. Könyvtár'!K10</f>
        <v>756485509</v>
      </c>
      <c r="I10" s="165">
        <f t="shared" si="0"/>
        <v>-61525271</v>
      </c>
      <c r="DU10" s="41" t="b">
        <f>'2.10. sz. Intézmények összesen'!D8=SUMIF($D$6:$DT$6,"kötelező",D10:DT10)</f>
        <v>0</v>
      </c>
    </row>
    <row r="11" spans="1:9" ht="23.25" customHeight="1">
      <c r="A11" s="49" t="s">
        <v>249</v>
      </c>
      <c r="B11" s="52" t="s">
        <v>407</v>
      </c>
      <c r="C11" s="50" t="s">
        <v>261</v>
      </c>
      <c r="D11" s="8">
        <f>SUMIF('2.1. sz. PMH'!$D$4:$L$4,"kötelező",'2.1. sz. PMH'!D11:L11)+SUMIF('2.2. sz. Hétszínvirág Óvoda'!$D$4:$G$4,"kötelező",'2.2. sz. Hétszínvirág Óvoda'!D11:G11)+SUMIF('2.3. sz. Mese Óvoda'!$D$4:$I$4,"kötelező",'2.3. sz. Mese Óvoda'!D11:I11)+SUMIF('2.4. sz. Bölcsőde'!$D$4:$H$4,"kötelező",'2.4. sz. Bölcsőde'!D11:H11)+SUMIF('2.5. sz. Gyermekjóléti'!$D$4:$J$4,"kötelező",'2.5. sz. Gyermekjóléti'!D11:J11)+SUMIF('2.6 sz. Területi'!$D$4:$V$4,"kötelező",'2.6 sz. Területi'!D11:V11)+SUMIF('2.7. sz. Könyvtár'!$D$4:$K$4,"kötelező",'2.7. sz. Könyvtár'!D11:K11)+SUMIF('2.8. sz. Műv.Ház'!$D$4:$J$4,"kötelező",'2.8. sz. Műv.Ház'!D11:J11)+SUMIF('2.9. sz. Szivárvány Ó.'!$D$4:$H$4,"kötelező",'2.9. sz. Szivárvány Ó.'!D11:H11)</f>
        <v>0</v>
      </c>
      <c r="E11" s="8">
        <f>SUMIF('2.1. sz. PMH'!$D$4:$L$4,"önként vállalt",'2.1. sz. PMH'!D11:L11)+SUMIF('2.2. sz. Hétszínvirág Óvoda'!$D$4:$G$4,"önként vállalt",'2.2. sz. Hétszínvirág Óvoda'!D11:G11)+SUMIF('2.3. sz. Mese Óvoda'!$D$4:$I$4,"önként vállalt",'2.3. sz. Mese Óvoda'!D11:I11)+SUMIF('2.4. sz. Bölcsőde'!$D$4:$H$4,"önként vállalt",'2.4. sz. Bölcsőde'!D11:H11)+SUMIF('2.5. sz. Gyermekjóléti'!$D$4:$J$4,"önként vállalt",'2.5. sz. Gyermekjóléti'!D11:J11)+SUMIF('2.6 sz. Területi'!$D$4:$V$4,"önként vállalt",'2.6 sz. Területi'!D11:V11)+SUMIF('2.7. sz. Könyvtár'!$D$4:$K$4,"önként vállalt",'2.7. sz. Könyvtár'!D11:K11)+SUMIF('2.8. sz. Műv.Ház'!$D$4:$J$4,"önként vállalt",'2.8. sz. Műv.Ház'!D11:J11)+SUMIF('2.9. sz. Szivárvány Ó.'!$D$4:$H$4,"önként vállalt",'2.9. sz. Szivárvány Ó.'!D11:H11)</f>
        <v>0</v>
      </c>
      <c r="F11" s="8">
        <f>SUMIF('2.1. sz. PMH'!$D$4:$L$4,"államigazgatási",'2.1. sz. PMH'!D11:L11)+SUMIF('2.2. sz. Hétszínvirág Óvoda'!$D$4:$G$4,"államigazgatási",'2.2. sz. Hétszínvirág Óvoda'!D11:G11)+SUMIF('2.3. sz. Mese Óvoda'!$D$4:$I$4,"államigazgatási",'2.3. sz. Mese Óvoda'!D11:I11)+SUMIF('2.4. sz. Bölcsőde'!$D$4:$H$4,"államigazgatási",'2.4. sz. Bölcsőde'!D11:H11)+SUMIF('2.5. sz. Gyermekjóléti'!$D$4:$J$4,"államigazgatási",'2.5. sz. Gyermekjóléti'!D11:J11)+SUMIF('2.6 sz. Területi'!$D$4:$V$4,"államigazgatási",'2.6 sz. Területi'!D11:V11)+SUMIF('2.7. sz. Könyvtár'!$D$4:$K$4,"államigazgatási",'2.7. sz. Könyvtár'!D11:K11)+SUMIF('2.8. sz. Műv.Ház'!$D$4:$J$4,"államigazgatási",'2.8. sz. Műv.Ház'!D11:J11)+SUMIF('2.9. sz. Szivárvány Ó.'!$D$4:$H$4,"államigazgatási",'2.9. sz. Szivárvány Ó.'!D11:H11)</f>
        <v>0</v>
      </c>
      <c r="G11" s="8">
        <f aca="true" t="shared" si="1" ref="G11:G50">+D11+E11+F11</f>
        <v>0</v>
      </c>
      <c r="H11" s="166">
        <f>'2.1. sz. PMH'!M11+'2.2. sz. Hétszínvirág Óvoda'!H11+'2.3. sz. Mese Óvoda'!I11+'2.4. sz. Bölcsőde'!I11+'2.5. sz. Gyermekjóléti'!K11+'2.6 sz. Területi'!W11+'2.7. sz. Könyvtár'!K11</f>
        <v>0</v>
      </c>
      <c r="I11" s="165">
        <f t="shared" si="0"/>
        <v>0</v>
      </c>
    </row>
    <row r="12" spans="1:9" ht="23.25" customHeight="1">
      <c r="A12" s="49" t="s">
        <v>250</v>
      </c>
      <c r="B12" s="52" t="s">
        <v>292</v>
      </c>
      <c r="C12" s="50" t="s">
        <v>262</v>
      </c>
      <c r="D12" s="8">
        <f>SUMIF('2.1. sz. PMH'!$D$4:$L$4,"kötelező",'2.1. sz. PMH'!D12:L12)+SUMIF('2.2. sz. Hétszínvirág Óvoda'!$D$4:$G$4,"kötelező",'2.2. sz. Hétszínvirág Óvoda'!D12:G12)+SUMIF('2.3. sz. Mese Óvoda'!$D$4:$I$4,"kötelező",'2.3. sz. Mese Óvoda'!D12:I12)+SUMIF('2.4. sz. Bölcsőde'!$D$4:$H$4,"kötelező",'2.4. sz. Bölcsőde'!D12:H12)+SUMIF('2.5. sz. Gyermekjóléti'!$D$4:$J$4,"kötelező",'2.5. sz. Gyermekjóléti'!D12:J12)+SUMIF('2.6 sz. Területi'!$D$4:$V$4,"kötelező",'2.6 sz. Területi'!D12:V12)+SUMIF('2.7. sz. Könyvtár'!$D$4:$K$4,"kötelező",'2.7. sz. Könyvtár'!D12:K12)+SUMIF('2.8. sz. Műv.Ház'!$D$4:$J$4,"kötelező",'2.8. sz. Műv.Ház'!D12:J12)+SUMIF('2.9. sz. Szivárvány Ó.'!$D$4:$H$4,"kötelező",'2.9. sz. Szivárvány Ó.'!D12:H12)</f>
        <v>0</v>
      </c>
      <c r="E12" s="8">
        <f>SUMIF('2.1. sz. PMH'!$D$4:$L$4,"önként vállalt",'2.1. sz. PMH'!D12:L12)+SUMIF('2.2. sz. Hétszínvirág Óvoda'!$D$4:$G$4,"önként vállalt",'2.2. sz. Hétszínvirág Óvoda'!D12:G12)+SUMIF('2.3. sz. Mese Óvoda'!$D$4:$I$4,"önként vállalt",'2.3. sz. Mese Óvoda'!D12:I12)+SUMIF('2.4. sz. Bölcsőde'!$D$4:$H$4,"önként vállalt",'2.4. sz. Bölcsőde'!D12:H12)+SUMIF('2.5. sz. Gyermekjóléti'!$D$4:$J$4,"önként vállalt",'2.5. sz. Gyermekjóléti'!D12:J12)+SUMIF('2.6 sz. Területi'!$D$4:$V$4,"önként vállalt",'2.6 sz. Területi'!D12:V12)+SUMIF('2.7. sz. Könyvtár'!$D$4:$K$4,"önként vállalt",'2.7. sz. Könyvtár'!D12:K12)+SUMIF('2.8. sz. Műv.Ház'!$D$4:$J$4,"önként vállalt",'2.8. sz. Műv.Ház'!D12:J12)+SUMIF('2.9. sz. Szivárvány Ó.'!$D$4:$H$4,"önként vállalt",'2.9. sz. Szivárvány Ó.'!D12:H12)</f>
        <v>0</v>
      </c>
      <c r="F12" s="8">
        <f>SUMIF('2.1. sz. PMH'!$D$4:$L$4,"államigazgatási",'2.1. sz. PMH'!D12:L12)+SUMIF('2.2. sz. Hétszínvirág Óvoda'!$D$4:$G$4,"államigazgatási",'2.2. sz. Hétszínvirág Óvoda'!D12:G12)+SUMIF('2.3. sz. Mese Óvoda'!$D$4:$I$4,"államigazgatási",'2.3. sz. Mese Óvoda'!D12:I12)+SUMIF('2.4. sz. Bölcsőde'!$D$4:$H$4,"államigazgatási",'2.4. sz. Bölcsőde'!D12:H12)+SUMIF('2.5. sz. Gyermekjóléti'!$D$4:$J$4,"államigazgatási",'2.5. sz. Gyermekjóléti'!D12:J12)+SUMIF('2.6 sz. Területi'!$D$4:$V$4,"államigazgatási",'2.6 sz. Területi'!D12:V12)+SUMIF('2.7. sz. Könyvtár'!$D$4:$K$4,"államigazgatási",'2.7. sz. Könyvtár'!D12:K12)+SUMIF('2.8. sz. Műv.Ház'!$D$4:$J$4,"államigazgatási",'2.8. sz. Műv.Ház'!D12:J12)+SUMIF('2.9. sz. Szivárvány Ó.'!$D$4:$H$4,"államigazgatási",'2.9. sz. Szivárvány Ó.'!D12:H12)</f>
        <v>0</v>
      </c>
      <c r="G12" s="8">
        <f t="shared" si="1"/>
        <v>0</v>
      </c>
      <c r="H12" s="166">
        <f>'2.1. sz. PMH'!M12+'2.2. sz. Hétszínvirág Óvoda'!H12+'2.3. sz. Mese Óvoda'!I12+'2.4. sz. Bölcsőde'!I12+'2.5. sz. Gyermekjóléti'!K12+'2.6 sz. Területi'!W12+'2.7. sz. Könyvtár'!K12</f>
        <v>0</v>
      </c>
      <c r="I12" s="165">
        <f t="shared" si="0"/>
        <v>0</v>
      </c>
    </row>
    <row r="13" spans="1:9" ht="23.25" customHeight="1">
      <c r="A13" s="49" t="s">
        <v>251</v>
      </c>
      <c r="B13" s="53" t="s">
        <v>159</v>
      </c>
      <c r="C13" s="50"/>
      <c r="D13" s="8">
        <f>SUMIF('2.1. sz. PMH'!$D$4:$L$4,"kötelező",'2.1. sz. PMH'!D13:L13)+SUMIF('2.2. sz. Hétszínvirág Óvoda'!$D$4:$G$4,"kötelező",'2.2. sz. Hétszínvirág Óvoda'!D13:G13)+SUMIF('2.3. sz. Mese Óvoda'!$D$4:$I$4,"kötelező",'2.3. sz. Mese Óvoda'!D13:I13)+SUMIF('2.4. sz. Bölcsőde'!$D$4:$H$4,"kötelező",'2.4. sz. Bölcsőde'!D13:H13)+SUMIF('2.5. sz. Gyermekjóléti'!$D$4:$J$4,"kötelező",'2.5. sz. Gyermekjóléti'!D13:J13)+SUMIF('2.6 sz. Területi'!$D$4:$V$4,"kötelező",'2.6 sz. Területi'!D13:V13)+SUMIF('2.7. sz. Könyvtár'!$D$4:$K$4,"kötelező",'2.7. sz. Könyvtár'!D13:K13)+SUMIF('2.8. sz. Műv.Ház'!$D$4:$J$4,"kötelező",'2.8. sz. Műv.Ház'!D13:J13)+SUMIF('2.9. sz. Szivárvány Ó.'!$D$4:$H$4,"kötelező",'2.9. sz. Szivárvány Ó.'!D13:H13)</f>
        <v>0</v>
      </c>
      <c r="E13" s="8">
        <f>SUMIF('2.1. sz. PMH'!$D$4:$L$4,"önként vállalt",'2.1. sz. PMH'!D13:L13)+SUMIF('2.2. sz. Hétszínvirág Óvoda'!$D$4:$G$4,"önként vállalt",'2.2. sz. Hétszínvirág Óvoda'!D13:G13)+SUMIF('2.3. sz. Mese Óvoda'!$D$4:$I$4,"önként vállalt",'2.3. sz. Mese Óvoda'!D13:I13)+SUMIF('2.4. sz. Bölcsőde'!$D$4:$H$4,"önként vállalt",'2.4. sz. Bölcsőde'!D13:H13)+SUMIF('2.5. sz. Gyermekjóléti'!$D$4:$J$4,"önként vállalt",'2.5. sz. Gyermekjóléti'!D13:J13)+SUMIF('2.6 sz. Területi'!$D$4:$V$4,"önként vállalt",'2.6 sz. Területi'!D13:V13)+SUMIF('2.7. sz. Könyvtár'!$D$4:$K$4,"önként vállalt",'2.7. sz. Könyvtár'!D13:K13)+SUMIF('2.8. sz. Műv.Ház'!$D$4:$J$4,"önként vállalt",'2.8. sz. Műv.Ház'!D13:J13)+SUMIF('2.9. sz. Szivárvány Ó.'!$D$4:$H$4,"önként vállalt",'2.9. sz. Szivárvány Ó.'!D13:H13)</f>
        <v>0</v>
      </c>
      <c r="F13" s="8">
        <f>SUMIF('2.1. sz. PMH'!$D$4:$L$4,"államigazgatási",'2.1. sz. PMH'!D13:L13)+SUMIF('2.2. sz. Hétszínvirág Óvoda'!$D$4:$G$4,"államigazgatási",'2.2. sz. Hétszínvirág Óvoda'!D13:G13)+SUMIF('2.3. sz. Mese Óvoda'!$D$4:$I$4,"államigazgatási",'2.3. sz. Mese Óvoda'!D13:I13)+SUMIF('2.4. sz. Bölcsőde'!$D$4:$H$4,"államigazgatási",'2.4. sz. Bölcsőde'!D13:H13)+SUMIF('2.5. sz. Gyermekjóléti'!$D$4:$J$4,"államigazgatási",'2.5. sz. Gyermekjóléti'!D13:J13)+SUMIF('2.6 sz. Területi'!$D$4:$V$4,"államigazgatási",'2.6 sz. Területi'!D13:V13)+SUMIF('2.7. sz. Könyvtár'!$D$4:$K$4,"államigazgatási",'2.7. sz. Könyvtár'!D13:K13)+SUMIF('2.8. sz. Műv.Ház'!$D$4:$J$4,"államigazgatási",'2.8. sz. Műv.Ház'!D13:J13)+SUMIF('2.9. sz. Szivárvány Ó.'!$D$4:$H$4,"államigazgatási",'2.9. sz. Szivárvány Ó.'!D13:H13)</f>
        <v>0</v>
      </c>
      <c r="G13" s="8">
        <f t="shared" si="1"/>
        <v>0</v>
      </c>
      <c r="H13" s="166">
        <f>'2.1. sz. PMH'!M13+'2.2. sz. Hétszínvirág Óvoda'!H13+'2.3. sz. Mese Óvoda'!I13+'2.4. sz. Bölcsőde'!I13+'2.5. sz. Gyermekjóléti'!K13+'2.6 sz. Területi'!W13+'2.7. sz. Könyvtár'!K13</f>
        <v>0</v>
      </c>
      <c r="I13" s="165">
        <f t="shared" si="0"/>
        <v>0</v>
      </c>
    </row>
    <row r="14" spans="1:9" ht="23.25" customHeight="1">
      <c r="A14" s="49" t="s">
        <v>252</v>
      </c>
      <c r="B14" s="53" t="s">
        <v>148</v>
      </c>
      <c r="C14" s="54"/>
      <c r="D14" s="8">
        <f>SUMIF('2.1. sz. PMH'!$D$4:$L$4,"kötelező",'2.1. sz. PMH'!D14:L14)+SUMIF('2.2. sz. Hétszínvirág Óvoda'!$D$4:$G$4,"kötelező",'2.2. sz. Hétszínvirág Óvoda'!D14:G14)+SUMIF('2.3. sz. Mese Óvoda'!$D$4:$I$4,"kötelező",'2.3. sz. Mese Óvoda'!D14:I14)+SUMIF('2.4. sz. Bölcsőde'!$D$4:$H$4,"kötelező",'2.4. sz. Bölcsőde'!D14:H14)+SUMIF('2.5. sz. Gyermekjóléti'!$D$4:$J$4,"kötelező",'2.5. sz. Gyermekjóléti'!D14:J14)+SUMIF('2.6 sz. Területi'!$D$4:$V$4,"kötelező",'2.6 sz. Területi'!D14:V14)+SUMIF('2.7. sz. Könyvtár'!$D$4:$K$4,"kötelező",'2.7. sz. Könyvtár'!D14:K14)+SUMIF('2.8. sz. Műv.Ház'!$D$4:$J$4,"kötelező",'2.8. sz. Műv.Ház'!D14:J14)+SUMIF('2.9. sz. Szivárvány Ó.'!$D$4:$H$4,"kötelező",'2.9. sz. Szivárvány Ó.'!D14:H14)</f>
        <v>0</v>
      </c>
      <c r="E14" s="8">
        <f>SUMIF('2.1. sz. PMH'!$D$4:$L$4,"önként vállalt",'2.1. sz. PMH'!D14:L14)+SUMIF('2.2. sz. Hétszínvirág Óvoda'!$D$4:$G$4,"önként vállalt",'2.2. sz. Hétszínvirág Óvoda'!D14:G14)+SUMIF('2.3. sz. Mese Óvoda'!$D$4:$I$4,"önként vállalt",'2.3. sz. Mese Óvoda'!D14:I14)+SUMIF('2.4. sz. Bölcsőde'!$D$4:$H$4,"önként vállalt",'2.4. sz. Bölcsőde'!D14:H14)+SUMIF('2.5. sz. Gyermekjóléti'!$D$4:$J$4,"önként vállalt",'2.5. sz. Gyermekjóléti'!D14:J14)+SUMIF('2.6 sz. Területi'!$D$4:$V$4,"önként vállalt",'2.6 sz. Területi'!D14:V14)+SUMIF('2.7. sz. Könyvtár'!$D$4:$K$4,"önként vállalt",'2.7. sz. Könyvtár'!D14:K14)+SUMIF('2.8. sz. Műv.Ház'!$D$4:$J$4,"önként vállalt",'2.8. sz. Műv.Ház'!D14:J14)+SUMIF('2.9. sz. Szivárvány Ó.'!$D$4:$H$4,"önként vállalt",'2.9. sz. Szivárvány Ó.'!D14:H14)</f>
        <v>0</v>
      </c>
      <c r="F14" s="8">
        <f>SUMIF('2.1. sz. PMH'!$D$4:$L$4,"államigazgatási",'2.1. sz. PMH'!D14:L14)+SUMIF('2.2. sz. Hétszínvirág Óvoda'!$D$4:$G$4,"államigazgatási",'2.2. sz. Hétszínvirág Óvoda'!D14:G14)+SUMIF('2.3. sz. Mese Óvoda'!$D$4:$I$4,"államigazgatási",'2.3. sz. Mese Óvoda'!D14:I14)+SUMIF('2.4. sz. Bölcsőde'!$D$4:$H$4,"államigazgatási",'2.4. sz. Bölcsőde'!D14:H14)+SUMIF('2.5. sz. Gyermekjóléti'!$D$4:$J$4,"államigazgatási",'2.5. sz. Gyermekjóléti'!D14:J14)+SUMIF('2.6 sz. Területi'!$D$4:$V$4,"államigazgatási",'2.6 sz. Területi'!D14:V14)+SUMIF('2.7. sz. Könyvtár'!$D$4:$K$4,"államigazgatási",'2.7. sz. Könyvtár'!D14:K14)+SUMIF('2.8. sz. Műv.Ház'!$D$4:$J$4,"államigazgatási",'2.8. sz. Műv.Ház'!D14:J14)+SUMIF('2.9. sz. Szivárvány Ó.'!$D$4:$H$4,"államigazgatási",'2.9. sz. Szivárvány Ó.'!D14:H14)</f>
        <v>0</v>
      </c>
      <c r="G14" s="8">
        <f t="shared" si="1"/>
        <v>0</v>
      </c>
      <c r="H14" s="166">
        <f>'2.1. sz. PMH'!M14+'2.2. sz. Hétszínvirág Óvoda'!H14+'2.3. sz. Mese Óvoda'!I14+'2.4. sz. Bölcsőde'!I14+'2.5. sz. Gyermekjóléti'!K14+'2.6 sz. Területi'!W14+'2.7. sz. Könyvtár'!K14</f>
        <v>0</v>
      </c>
      <c r="I14" s="165">
        <f t="shared" si="0"/>
        <v>0</v>
      </c>
    </row>
    <row r="15" spans="1:9" ht="23.25" customHeight="1">
      <c r="A15" s="49" t="s">
        <v>253</v>
      </c>
      <c r="B15" s="175" t="s">
        <v>738</v>
      </c>
      <c r="C15" s="54"/>
      <c r="D15" s="8">
        <f>SUMIF('2.1. sz. PMH'!$D$4:$L$4,"kötelező",'2.1. sz. PMH'!D15:L15)+SUMIF('2.2. sz. Hétszínvirág Óvoda'!$D$4:$G$4,"kötelező",'2.2. sz. Hétszínvirág Óvoda'!D15:G15)+SUMIF('2.3. sz. Mese Óvoda'!$D$4:$I$4,"kötelező",'2.3. sz. Mese Óvoda'!D15:I15)+SUMIF('2.4. sz. Bölcsőde'!$D$4:$H$4,"kötelező",'2.4. sz. Bölcsőde'!D15:H15)+SUMIF('2.5. sz. Gyermekjóléti'!$D$4:$J$4,"kötelező",'2.5. sz. Gyermekjóléti'!D15:J15)+SUMIF('2.6 sz. Területi'!$D$4:$V$4,"kötelező",'2.6 sz. Területi'!D15:V15)+SUMIF('2.7. sz. Könyvtár'!$D$4:$K$4,"kötelező",'2.7. sz. Könyvtár'!D15:K15)+SUMIF('2.8. sz. Műv.Ház'!$D$4:$J$4,"kötelező",'2.8. sz. Műv.Ház'!D15:J15)+SUMIF('2.9. sz. Szivárvány Ó.'!$D$4:$H$4,"kötelező",'2.9. sz. Szivárvány Ó.'!D15:H15)</f>
        <v>0</v>
      </c>
      <c r="E15" s="8">
        <f>SUMIF('2.1. sz. PMH'!$D$4:$L$4,"önként vállalt",'2.1. sz. PMH'!D15:L15)+SUMIF('2.2. sz. Hétszínvirág Óvoda'!$D$4:$G$4,"önként vállalt",'2.2. sz. Hétszínvirág Óvoda'!D15:G15)+SUMIF('2.3. sz. Mese Óvoda'!$D$4:$I$4,"önként vállalt",'2.3. sz. Mese Óvoda'!D15:I15)+SUMIF('2.4. sz. Bölcsőde'!$D$4:$H$4,"önként vállalt",'2.4. sz. Bölcsőde'!D15:H15)+SUMIF('2.5. sz. Gyermekjóléti'!$D$4:$J$4,"önként vállalt",'2.5. sz. Gyermekjóléti'!D15:J15)+SUMIF('2.6 sz. Területi'!$D$4:$V$4,"önként vállalt",'2.6 sz. Területi'!D15:V15)+SUMIF('2.7. sz. Könyvtár'!$D$4:$K$4,"önként vállalt",'2.7. sz. Könyvtár'!D15:K15)+SUMIF('2.8. sz. Műv.Ház'!$D$4:$J$4,"önként vállalt",'2.8. sz. Műv.Ház'!D15:J15)+SUMIF('2.9. sz. Szivárvány Ó.'!$D$4:$H$4,"önként vállalt",'2.9. sz. Szivárvány Ó.'!D15:H15)</f>
        <v>0</v>
      </c>
      <c r="F15" s="8">
        <f>SUMIF('2.1. sz. PMH'!$D$4:$L$4,"államigazgatási",'2.1. sz. PMH'!D15:L15)+SUMIF('2.2. sz. Hétszínvirág Óvoda'!$D$4:$G$4,"államigazgatási",'2.2. sz. Hétszínvirág Óvoda'!D15:G15)+SUMIF('2.3. sz. Mese Óvoda'!$D$4:$I$4,"államigazgatási",'2.3. sz. Mese Óvoda'!D15:I15)+SUMIF('2.4. sz. Bölcsőde'!$D$4:$H$4,"államigazgatási",'2.4. sz. Bölcsőde'!D15:H15)+SUMIF('2.5. sz. Gyermekjóléti'!$D$4:$J$4,"államigazgatási",'2.5. sz. Gyermekjóléti'!D15:J15)+SUMIF('2.6 sz. Területi'!$D$4:$V$4,"államigazgatási",'2.6 sz. Területi'!D15:V15)+SUMIF('2.7. sz. Könyvtár'!$D$4:$K$4,"államigazgatási",'2.7. sz. Könyvtár'!D15:K15)+SUMIF('2.8. sz. Műv.Ház'!$D$4:$J$4,"államigazgatási",'2.8. sz. Műv.Ház'!D15:J15)+SUMIF('2.9. sz. Szivárvány Ó.'!$D$4:$H$4,"államigazgatási",'2.9. sz. Szivárvány Ó.'!D15:H15)</f>
        <v>0</v>
      </c>
      <c r="G15" s="8">
        <f t="shared" si="1"/>
        <v>0</v>
      </c>
      <c r="H15" s="166"/>
      <c r="I15" s="165"/>
    </row>
    <row r="16" spans="1:9" ht="23.25" customHeight="1">
      <c r="A16" s="49" t="s">
        <v>254</v>
      </c>
      <c r="B16" s="55" t="s">
        <v>299</v>
      </c>
      <c r="C16" s="50" t="s">
        <v>263</v>
      </c>
      <c r="D16" s="8">
        <f>SUMIF('2.1. sz. PMH'!$D$4:$L$4,"kötelező",'2.1. sz. PMH'!D16:L16)+SUMIF('2.2. sz. Hétszínvirág Óvoda'!$D$4:$G$4,"kötelező",'2.2. sz. Hétszínvirág Óvoda'!D16:G16)+SUMIF('2.3. sz. Mese Óvoda'!$D$4:$I$4,"kötelező",'2.3. sz. Mese Óvoda'!D16:I16)+SUMIF('2.4. sz. Bölcsőde'!$D$4:$H$4,"kötelező",'2.4. sz. Bölcsőde'!D16:H16)+SUMIF('2.5. sz. Gyermekjóléti'!$D$4:$J$4,"kötelező",'2.5. sz. Gyermekjóléti'!D16:J16)+SUMIF('2.6 sz. Területi'!$D$4:$V$4,"kötelező",'2.6 sz. Területi'!D16:V16)+SUMIF('2.7. sz. Könyvtár'!$D$4:$K$4,"kötelező",'2.7. sz. Könyvtár'!D16:K16)+SUMIF('2.8. sz. Műv.Ház'!$D$4:$J$4,"kötelező",'2.8. sz. Műv.Ház'!D16:J16)+SUMIF('2.9. sz. Szivárvány Ó.'!$D$4:$H$4,"kötelező",'2.9. sz. Szivárvány Ó.'!D16:H16)</f>
        <v>56084179</v>
      </c>
      <c r="E16" s="8">
        <f>SUMIF('2.1. sz. PMH'!$D$4:$L$4,"önként vállalt",'2.1. sz. PMH'!D16:L16)+SUMIF('2.2. sz. Hétszínvirág Óvoda'!$D$4:$G$4,"önként vállalt",'2.2. sz. Hétszínvirág Óvoda'!D16:G16)+SUMIF('2.3. sz. Mese Óvoda'!$D$4:$I$4,"önként vállalt",'2.3. sz. Mese Óvoda'!D16:I16)+SUMIF('2.4. sz. Bölcsőde'!$D$4:$H$4,"önként vállalt",'2.4. sz. Bölcsőde'!D16:H16)+SUMIF('2.5. sz. Gyermekjóléti'!$D$4:$J$4,"önként vállalt",'2.5. sz. Gyermekjóléti'!D16:J16)+SUMIF('2.6 sz. Területi'!$D$4:$V$4,"önként vállalt",'2.6 sz. Területi'!D16:V16)+SUMIF('2.7. sz. Könyvtár'!$D$4:$K$4,"önként vállalt",'2.7. sz. Könyvtár'!D16:K16)+SUMIF('2.8. sz. Műv.Ház'!$D$4:$J$4,"önként vállalt",'2.8. sz. Műv.Ház'!D16:J16)+SUMIF('2.9. sz. Szivárvány Ó.'!$D$4:$H$4,"önként vállalt",'2.9. sz. Szivárvány Ó.'!D16:H16)</f>
        <v>6254000</v>
      </c>
      <c r="F16" s="8">
        <f>SUMIF('2.1. sz. PMH'!$D$4:$L$4,"államigazgatási",'2.1. sz. PMH'!D16:L16)+SUMIF('2.2. sz. Hétszínvirág Óvoda'!$D$4:$G$4,"államigazgatási",'2.2. sz. Hétszínvirág Óvoda'!D16:G16)+SUMIF('2.3. sz. Mese Óvoda'!$D$4:$I$4,"államigazgatási",'2.3. sz. Mese Óvoda'!D16:I16)+SUMIF('2.4. sz. Bölcsőde'!$D$4:$H$4,"államigazgatási",'2.4. sz. Bölcsőde'!D16:H16)+SUMIF('2.5. sz. Gyermekjóléti'!$D$4:$J$4,"államigazgatási",'2.5. sz. Gyermekjóléti'!D16:J16)+SUMIF('2.6 sz. Területi'!$D$4:$V$4,"államigazgatási",'2.6 sz. Területi'!D16:V16)+SUMIF('2.7. sz. Könyvtár'!$D$4:$K$4,"államigazgatási",'2.7. sz. Könyvtár'!D16:K16)+SUMIF('2.8. sz. Műv.Ház'!$D$4:$J$4,"államigazgatási",'2.8. sz. Műv.Ház'!D16:J16)+SUMIF('2.9. sz. Szivárvány Ó.'!$D$4:$H$4,"államigazgatási",'2.9. sz. Szivárvány Ó.'!D16:H16)</f>
        <v>571500</v>
      </c>
      <c r="G16" s="8">
        <f t="shared" si="1"/>
        <v>62909679</v>
      </c>
      <c r="H16" s="166">
        <f>'2.1. sz. PMH'!M16+'2.2. sz. Hétszínvirág Óvoda'!H16+'2.3. sz. Mese Óvoda'!I16+'2.4. sz. Bölcsőde'!I16+'2.5. sz. Gyermekjóléti'!K16+'2.6 sz. Területi'!W16+'2.7. sz. Könyvtár'!K16</f>
        <v>60258679</v>
      </c>
      <c r="I16" s="165">
        <f t="shared" si="0"/>
        <v>-2651000</v>
      </c>
    </row>
    <row r="17" spans="1:9" ht="23.25" customHeight="1">
      <c r="A17" s="49" t="s">
        <v>255</v>
      </c>
      <c r="B17" s="52" t="s">
        <v>408</v>
      </c>
      <c r="C17" s="50" t="s">
        <v>264</v>
      </c>
      <c r="D17" s="8">
        <f>SUMIF('2.1. sz. PMH'!$D$4:$L$4,"kötelező",'2.1. sz. PMH'!D17:L17)+SUMIF('2.2. sz. Hétszínvirág Óvoda'!$D$4:$G$4,"kötelező",'2.2. sz. Hétszínvirág Óvoda'!D17:G17)+SUMIF('2.3. sz. Mese Óvoda'!$D$4:$I$4,"kötelező",'2.3. sz. Mese Óvoda'!D17:I17)+SUMIF('2.4. sz. Bölcsőde'!$D$4:$H$4,"kötelező",'2.4. sz. Bölcsőde'!D17:H17)+SUMIF('2.5. sz. Gyermekjóléti'!$D$4:$J$4,"kötelező",'2.5. sz. Gyermekjóléti'!D17:J17)+SUMIF('2.6 sz. Területi'!$D$4:$V$4,"kötelező",'2.6 sz. Területi'!D17:V17)+SUMIF('2.7. sz. Könyvtár'!$D$4:$K$4,"kötelező",'2.7. sz. Könyvtár'!D17:K17)+SUMIF('2.8. sz. Műv.Ház'!$D$4:$J$4,"kötelező",'2.8. sz. Műv.Ház'!D17:J17)+SUMIF('2.9. sz. Szivárvány Ó.'!$D$4:$H$4,"kötelező",'2.9. sz. Szivárvány Ó.'!D17:H17)</f>
        <v>0</v>
      </c>
      <c r="E17" s="8">
        <f>SUMIF('2.1. sz. PMH'!$D$4:$L$4,"önként vállalt",'2.1. sz. PMH'!D17:L17)+SUMIF('2.2. sz. Hétszínvirág Óvoda'!$D$4:$G$4,"önként vállalt",'2.2. sz. Hétszínvirág Óvoda'!D17:G17)+SUMIF('2.3. sz. Mese Óvoda'!$D$4:$I$4,"önként vállalt",'2.3. sz. Mese Óvoda'!D17:I17)+SUMIF('2.4. sz. Bölcsőde'!$D$4:$H$4,"önként vállalt",'2.4. sz. Bölcsőde'!D17:H17)+SUMIF('2.5. sz. Gyermekjóléti'!$D$4:$J$4,"önként vállalt",'2.5. sz. Gyermekjóléti'!D17:J17)+SUMIF('2.6 sz. Területi'!$D$4:$V$4,"önként vállalt",'2.6 sz. Területi'!D17:V17)+SUMIF('2.7. sz. Könyvtár'!$D$4:$K$4,"önként vállalt",'2.7. sz. Könyvtár'!D17:K17)+SUMIF('2.8. sz. Műv.Ház'!$D$4:$J$4,"önként vállalt",'2.8. sz. Műv.Ház'!D17:J17)+SUMIF('2.9. sz. Szivárvány Ó.'!$D$4:$H$4,"önként vállalt",'2.9. sz. Szivárvány Ó.'!D17:H17)</f>
        <v>0</v>
      </c>
      <c r="F17" s="8">
        <f>SUMIF('2.1. sz. PMH'!$D$4:$L$4,"államigazgatási",'2.1. sz. PMH'!D17:L17)+SUMIF('2.2. sz. Hétszínvirág Óvoda'!$D$4:$G$4,"államigazgatási",'2.2. sz. Hétszínvirág Óvoda'!D17:G17)+SUMIF('2.3. sz. Mese Óvoda'!$D$4:$I$4,"államigazgatási",'2.3. sz. Mese Óvoda'!D17:I17)+SUMIF('2.4. sz. Bölcsőde'!$D$4:$H$4,"államigazgatási",'2.4. sz. Bölcsőde'!D17:H17)+SUMIF('2.5. sz. Gyermekjóléti'!$D$4:$J$4,"államigazgatási",'2.5. sz. Gyermekjóléti'!D17:J17)+SUMIF('2.6 sz. Területi'!$D$4:$V$4,"államigazgatási",'2.6 sz. Területi'!D17:V17)+SUMIF('2.7. sz. Könyvtár'!$D$4:$K$4,"államigazgatási",'2.7. sz. Könyvtár'!D17:K17)+SUMIF('2.8. sz. Műv.Ház'!$D$4:$J$4,"államigazgatási",'2.8. sz. Műv.Ház'!D17:J17)+SUMIF('2.9. sz. Szivárvány Ó.'!$D$4:$H$4,"államigazgatási",'2.9. sz. Szivárvány Ó.'!D17:H17)</f>
        <v>0</v>
      </c>
      <c r="G17" s="8">
        <f t="shared" si="1"/>
        <v>0</v>
      </c>
      <c r="H17" s="166">
        <f>'2.1. sz. PMH'!M17+'2.2. sz. Hétszínvirág Óvoda'!H17+'2.3. sz. Mese Óvoda'!I17+'2.4. sz. Bölcsőde'!I17+'2.5. sz. Gyermekjóléti'!K17+'2.6 sz. Területi'!W17+'2.7. sz. Könyvtár'!K17</f>
        <v>0</v>
      </c>
      <c r="I17" s="165">
        <f t="shared" si="0"/>
        <v>0</v>
      </c>
    </row>
    <row r="18" spans="1:9" ht="23.25" customHeight="1">
      <c r="A18" s="49" t="s">
        <v>256</v>
      </c>
      <c r="B18" s="52" t="s">
        <v>293</v>
      </c>
      <c r="C18" s="50" t="s">
        <v>265</v>
      </c>
      <c r="D18" s="8">
        <f>SUMIF('2.1. sz. PMH'!$D$4:$L$4,"kötelező",'2.1. sz. PMH'!D18:L18)+SUMIF('2.2. sz. Hétszínvirág Óvoda'!$D$4:$G$4,"kötelező",'2.2. sz. Hétszínvirág Óvoda'!D18:G18)+SUMIF('2.3. sz. Mese Óvoda'!$D$4:$I$4,"kötelező",'2.3. sz. Mese Óvoda'!D18:I18)+SUMIF('2.4. sz. Bölcsőde'!$D$4:$H$4,"kötelező",'2.4. sz. Bölcsőde'!D18:H18)+SUMIF('2.5. sz. Gyermekjóléti'!$D$4:$J$4,"kötelező",'2.5. sz. Gyermekjóléti'!D18:J18)+SUMIF('2.6 sz. Területi'!$D$4:$V$4,"kötelező",'2.6 sz. Területi'!D18:V18)+SUMIF('2.7. sz. Könyvtár'!$D$4:$K$4,"kötelező",'2.7. sz. Könyvtár'!D18:K18)+SUMIF('2.8. sz. Műv.Ház'!$D$4:$J$4,"kötelező",'2.8. sz. Műv.Ház'!D18:J18)+SUMIF('2.9. sz. Szivárvány Ó.'!$D$4:$H$4,"kötelező",'2.9. sz. Szivárvány Ó.'!D18:H18)</f>
        <v>5000000</v>
      </c>
      <c r="E18" s="8">
        <f>SUMIF('2.1. sz. PMH'!$D$4:$L$4,"önként vállalt",'2.1. sz. PMH'!D18:L18)+SUMIF('2.2. sz. Hétszínvirág Óvoda'!$D$4:$G$4,"önként vállalt",'2.2. sz. Hétszínvirág Óvoda'!D18:G18)+SUMIF('2.3. sz. Mese Óvoda'!$D$4:$I$4,"önként vállalt",'2.3. sz. Mese Óvoda'!D18:I18)+SUMIF('2.4. sz. Bölcsőde'!$D$4:$H$4,"önként vállalt",'2.4. sz. Bölcsőde'!D18:H18)+SUMIF('2.5. sz. Gyermekjóléti'!$D$4:$J$4,"önként vállalt",'2.5. sz. Gyermekjóléti'!D18:J18)+SUMIF('2.6 sz. Területi'!$D$4:$V$4,"önként vállalt",'2.6 sz. Területi'!D18:V18)+SUMIF('2.7. sz. Könyvtár'!$D$4:$K$4,"önként vállalt",'2.7. sz. Könyvtár'!D18:K18)+SUMIF('2.8. sz. Műv.Ház'!$D$4:$J$4,"önként vállalt",'2.8. sz. Műv.Ház'!D18:J18)+SUMIF('2.9. sz. Szivárvány Ó.'!$D$4:$H$4,"önként vállalt",'2.9. sz. Szivárvány Ó.'!D18:H18)</f>
        <v>0</v>
      </c>
      <c r="F18" s="8">
        <f>SUMIF('2.1. sz. PMH'!$D$4:$L$4,"államigazgatási",'2.1. sz. PMH'!D18:L18)+SUMIF('2.2. sz. Hétszínvirág Óvoda'!$D$4:$G$4,"államigazgatási",'2.2. sz. Hétszínvirág Óvoda'!D18:G18)+SUMIF('2.3. sz. Mese Óvoda'!$D$4:$I$4,"államigazgatási",'2.3. sz. Mese Óvoda'!D18:I18)+SUMIF('2.4. sz. Bölcsőde'!$D$4:$H$4,"államigazgatási",'2.4. sz. Bölcsőde'!D18:H18)+SUMIF('2.5. sz. Gyermekjóléti'!$D$4:$J$4,"államigazgatási",'2.5. sz. Gyermekjóléti'!D18:J18)+SUMIF('2.6 sz. Területi'!$D$4:$V$4,"államigazgatási",'2.6 sz. Területi'!D18:V18)+SUMIF('2.7. sz. Könyvtár'!$D$4:$K$4,"államigazgatási",'2.7. sz. Könyvtár'!D18:K18)+SUMIF('2.8. sz. Műv.Ház'!$D$4:$J$4,"államigazgatási",'2.8. sz. Műv.Ház'!D18:J18)+SUMIF('2.9. sz. Szivárvány Ó.'!$D$4:$H$4,"államigazgatási",'2.9. sz. Szivárvány Ó.'!D18:H18)</f>
        <v>0</v>
      </c>
      <c r="G18" s="8">
        <f t="shared" si="1"/>
        <v>5000000</v>
      </c>
      <c r="H18" s="166">
        <f>'2.1. sz. PMH'!M18+'2.2. sz. Hétszínvirág Óvoda'!H18+'2.3. sz. Mese Óvoda'!I18+'2.4. sz. Bölcsőde'!I18+'2.5. sz. Gyermekjóléti'!K18+'2.6 sz. Területi'!W18+'2.7. sz. Könyvtár'!K18</f>
        <v>5000000</v>
      </c>
      <c r="I18" s="165">
        <f t="shared" si="0"/>
        <v>0</v>
      </c>
    </row>
    <row r="19" spans="1:9" ht="23.25" customHeight="1">
      <c r="A19" s="49" t="s">
        <v>283</v>
      </c>
      <c r="B19" s="53" t="s">
        <v>158</v>
      </c>
      <c r="C19" s="50"/>
      <c r="D19" s="8">
        <f>SUMIF('2.1. sz. PMH'!$D$4:$L$4,"kötelező",'2.1. sz. PMH'!D19:L19)+SUMIF('2.2. sz. Hétszínvirág Óvoda'!$D$4:$G$4,"kötelező",'2.2. sz. Hétszínvirág Óvoda'!D19:G19)+SUMIF('2.3. sz. Mese Óvoda'!$D$4:$I$4,"kötelező",'2.3. sz. Mese Óvoda'!D19:I19)+SUMIF('2.4. sz. Bölcsőde'!$D$4:$H$4,"kötelező",'2.4. sz. Bölcsőde'!D19:H19)+SUMIF('2.5. sz. Gyermekjóléti'!$D$4:$J$4,"kötelező",'2.5. sz. Gyermekjóléti'!D19:J19)+SUMIF('2.6 sz. Területi'!$D$4:$V$4,"kötelező",'2.6 sz. Területi'!D19:V19)+SUMIF('2.7. sz. Könyvtár'!$D$4:$K$4,"kötelező",'2.7. sz. Könyvtár'!D19:K19)+SUMIF('2.8. sz. Műv.Ház'!$D$4:$J$4,"kötelező",'2.8. sz. Műv.Ház'!D19:J19)+SUMIF('2.9. sz. Szivárvány Ó.'!$D$4:$H$4,"kötelező",'2.9. sz. Szivárvány Ó.'!D19:H19)</f>
        <v>5000000</v>
      </c>
      <c r="E19" s="8">
        <f>SUMIF('2.1. sz. PMH'!$D$4:$L$4,"önként vállalt",'2.1. sz. PMH'!D19:L19)+SUMIF('2.2. sz. Hétszínvirág Óvoda'!$D$4:$G$4,"önként vállalt",'2.2. sz. Hétszínvirág Óvoda'!D19:G19)+SUMIF('2.3. sz. Mese Óvoda'!$D$4:$I$4,"önként vállalt",'2.3. sz. Mese Óvoda'!D19:I19)+SUMIF('2.4. sz. Bölcsőde'!$D$4:$H$4,"önként vállalt",'2.4. sz. Bölcsőde'!D19:H19)+SUMIF('2.5. sz. Gyermekjóléti'!$D$4:$J$4,"önként vállalt",'2.5. sz. Gyermekjóléti'!D19:J19)+SUMIF('2.6 sz. Területi'!$D$4:$V$4,"önként vállalt",'2.6 sz. Területi'!D19:V19)+SUMIF('2.7. sz. Könyvtár'!$D$4:$K$4,"önként vállalt",'2.7. sz. Könyvtár'!D19:K19)+SUMIF('2.8. sz. Műv.Ház'!$D$4:$J$4,"önként vállalt",'2.8. sz. Műv.Ház'!D19:J19)+SUMIF('2.9. sz. Szivárvány Ó.'!$D$4:$H$4,"önként vállalt",'2.9. sz. Szivárvány Ó.'!D19:H19)</f>
        <v>0</v>
      </c>
      <c r="F19" s="8">
        <f>SUMIF('2.1. sz. PMH'!$D$4:$L$4,"államigazgatási",'2.1. sz. PMH'!D19:L19)+SUMIF('2.2. sz. Hétszínvirág Óvoda'!$D$4:$G$4,"államigazgatási",'2.2. sz. Hétszínvirág Óvoda'!D19:G19)+SUMIF('2.3. sz. Mese Óvoda'!$D$4:$I$4,"államigazgatási",'2.3. sz. Mese Óvoda'!D19:I19)+SUMIF('2.4. sz. Bölcsőde'!$D$4:$H$4,"államigazgatási",'2.4. sz. Bölcsőde'!D19:H19)+SUMIF('2.5. sz. Gyermekjóléti'!$D$4:$J$4,"államigazgatási",'2.5. sz. Gyermekjóléti'!D19:J19)+SUMIF('2.6 sz. Területi'!$D$4:$V$4,"államigazgatási",'2.6 sz. Területi'!D19:V19)+SUMIF('2.7. sz. Könyvtár'!$D$4:$K$4,"államigazgatási",'2.7. sz. Könyvtár'!D19:K19)+SUMIF('2.8. sz. Műv.Ház'!$D$4:$J$4,"államigazgatási",'2.8. sz. Műv.Ház'!D19:J19)+SUMIF('2.9. sz. Szivárvány Ó.'!$D$4:$H$4,"államigazgatási",'2.9. sz. Szivárvány Ó.'!D19:H19)</f>
        <v>0</v>
      </c>
      <c r="G19" s="8">
        <f t="shared" si="1"/>
        <v>5000000</v>
      </c>
      <c r="H19" s="166">
        <f>'2.1. sz. PMH'!M19+'2.2. sz. Hétszínvirág Óvoda'!H19+'2.3. sz. Mese Óvoda'!I19+'2.4. sz. Bölcsőde'!I19+'2.5. sz. Gyermekjóléti'!K19+'2.6 sz. Területi'!W19+'2.7. sz. Könyvtár'!K19</f>
        <v>5000000</v>
      </c>
      <c r="I19" s="165">
        <f t="shared" si="0"/>
        <v>0</v>
      </c>
    </row>
    <row r="20" spans="1:10" ht="23.25" customHeight="1">
      <c r="A20" s="49" t="s">
        <v>284</v>
      </c>
      <c r="B20" s="55" t="s">
        <v>294</v>
      </c>
      <c r="C20" s="50" t="s">
        <v>266</v>
      </c>
      <c r="D20" s="9">
        <f>SUMIF('2.1. sz. PMH'!$D$4:$L$4,"kötelező",'2.1. sz. PMH'!D20:L20)+SUMIF('2.2. sz. Hétszínvirág Óvoda'!$D$4:$G$4,"kötelező",'2.2. sz. Hétszínvirág Óvoda'!D20:G20)+SUMIF('2.3. sz. Mese Óvoda'!$D$4:$I$4,"kötelező",'2.3. sz. Mese Óvoda'!D20:I20)+SUMIF('2.4. sz. Bölcsőde'!$D$4:$H$4,"kötelező",'2.4. sz. Bölcsőde'!D20:H20)+SUMIF('2.5. sz. Gyermekjóléti'!$D$4:$J$4,"kötelező",'2.5. sz. Gyermekjóléti'!D20:J20)+SUMIF('2.6 sz. Területi'!$D$4:$V$4,"kötelező",'2.6 sz. Területi'!D20:V20)+SUMIF('2.7. sz. Könyvtár'!$D$4:$K$4,"kötelező",'2.7. sz. Könyvtár'!D20:K20)+SUMIF('2.8. sz. Műv.Ház'!$D$4:$J$4,"kötelező",'2.8. sz. Műv.Ház'!D20:J20)+SUMIF('2.9. sz. Szivárvány Ó.'!$D$4:$H$4,"kötelező",'2.9. sz. Szivárvány Ó.'!D20:H20)</f>
        <v>2515118782</v>
      </c>
      <c r="E20" s="9">
        <f>SUMIF('2.1. sz. PMH'!$D$4:$L$4,"önként vállalt",'2.1. sz. PMH'!D20:L20)+SUMIF('2.2. sz. Hétszínvirág Óvoda'!$D$4:$G$4,"önként vállalt",'2.2. sz. Hétszínvirág Óvoda'!D20:G20)+SUMIF('2.3. sz. Mese Óvoda'!$D$4:$I$4,"önként vállalt",'2.3. sz. Mese Óvoda'!D20:I20)+SUMIF('2.4. sz. Bölcsőde'!$D$4:$H$4,"önként vállalt",'2.4. sz. Bölcsőde'!D20:H20)+SUMIF('2.5. sz. Gyermekjóléti'!$D$4:$J$4,"önként vállalt",'2.5. sz. Gyermekjóléti'!D20:J20)+SUMIF('2.6 sz. Területi'!$D$4:$V$4,"önként vállalt",'2.6 sz. Területi'!D20:V20)+SUMIF('2.7. sz. Könyvtár'!$D$4:$K$4,"önként vállalt",'2.7. sz. Könyvtár'!D20:K20)+SUMIF('2.8. sz. Műv.Ház'!$D$4:$J$4,"önként vállalt",'2.8. sz. Műv.Ház'!D20:J20)+SUMIF('2.9. sz. Szivárvány Ó.'!$D$4:$H$4,"önként vállalt",'2.9. sz. Szivárvány Ó.'!D20:H20)</f>
        <v>31305326</v>
      </c>
      <c r="F20" s="9">
        <f>SUMIF('2.1. sz. PMH'!$D$4:$L$4,"államigazgatási",'2.1. sz. PMH'!D20:L20)+SUMIF('2.2. sz. Hétszínvirág Óvoda'!$D$4:$G$4,"államigazgatási",'2.2. sz. Hétszínvirág Óvoda'!D20:G20)+SUMIF('2.3. sz. Mese Óvoda'!$D$4:$I$4,"államigazgatási",'2.3. sz. Mese Óvoda'!D20:I20)+SUMIF('2.4. sz. Bölcsőde'!$D$4:$H$4,"államigazgatási",'2.4. sz. Bölcsőde'!D20:H20)+SUMIF('2.5. sz. Gyermekjóléti'!$D$4:$J$4,"államigazgatási",'2.5. sz. Gyermekjóléti'!D20:J20)+SUMIF('2.6 sz. Területi'!$D$4:$V$4,"államigazgatási",'2.6 sz. Területi'!D20:V20)+SUMIF('2.7. sz. Könyvtár'!$D$4:$K$4,"államigazgatási",'2.7. sz. Könyvtár'!D20:K20)+SUMIF('2.8. sz. Műv.Ház'!$D$4:$J$4,"államigazgatási",'2.8. sz. Műv.Ház'!D20:J20)+SUMIF('2.9. sz. Szivárvány Ó.'!$D$4:$H$4,"államigazgatási",'2.9. sz. Szivárvány Ó.'!D20:H20)</f>
        <v>82399111</v>
      </c>
      <c r="G20" s="9">
        <f t="shared" si="1"/>
        <v>2628823219</v>
      </c>
      <c r="H20" s="166">
        <f>'2.1. sz. PMH'!M20+'2.2. sz. Hétszínvirág Óvoda'!H20+'2.3. sz. Mese Óvoda'!I20+'2.4. sz. Bölcsőde'!I20+'2.5. sz. Gyermekjóléti'!K20+'2.6 sz. Területi'!W20+'2.7. sz. Könyvtár'!K20</f>
        <v>2326320498</v>
      </c>
      <c r="I20" s="165">
        <f t="shared" si="0"/>
        <v>-302502721</v>
      </c>
      <c r="J20" s="165">
        <f>+F8+F9+F10+F16</f>
        <v>82399111</v>
      </c>
    </row>
    <row r="21" spans="1:9" ht="23.25" customHeight="1">
      <c r="A21" s="49" t="s">
        <v>285</v>
      </c>
      <c r="B21" s="55" t="s">
        <v>279</v>
      </c>
      <c r="C21" s="50" t="s">
        <v>275</v>
      </c>
      <c r="D21" s="8">
        <f>SUMIF('2.1. sz. PMH'!$D$4:$L$4,"kötelező",'2.1. sz. PMH'!D21:L21)+SUMIF('2.2. sz. Hétszínvirág Óvoda'!$D$4:$G$4,"kötelező",'2.2. sz. Hétszínvirág Óvoda'!D21:G21)+SUMIF('2.3. sz. Mese Óvoda'!$D$4:$I$4,"kötelező",'2.3. sz. Mese Óvoda'!D21:I21)+SUMIF('2.4. sz. Bölcsőde'!$D$4:$H$4,"kötelező",'2.4. sz. Bölcsőde'!D21:H21)+SUMIF('2.5. sz. Gyermekjóléti'!$D$4:$J$4,"kötelező",'2.5. sz. Gyermekjóléti'!D21:J21)+SUMIF('2.6 sz. Területi'!$D$4:$V$4,"kötelező",'2.6 sz. Területi'!D21:V21)+SUMIF('2.7. sz. Könyvtár'!$D$4:$K$4,"kötelező",'2.7. sz. Könyvtár'!D21:K21)+SUMIF('2.8. sz. Műv.Ház'!$D$4:$J$4,"kötelező",'2.8. sz. Műv.Ház'!D21:J21)+SUMIF('2.9. sz. Szivárvány Ó.'!$D$4:$H$4,"kötelező",'2.9. sz. Szivárvány Ó.'!D21:H21)</f>
        <v>0</v>
      </c>
      <c r="E21" s="8">
        <f>SUMIF('2.1. sz. PMH'!$D$4:$L$4,"önként vállalt",'2.1. sz. PMH'!D21:L21)+SUMIF('2.2. sz. Hétszínvirág Óvoda'!$D$4:$G$4,"önként vállalt",'2.2. sz. Hétszínvirág Óvoda'!D21:G21)+SUMIF('2.3. sz. Mese Óvoda'!$D$4:$I$4,"önként vállalt",'2.3. sz. Mese Óvoda'!D21:I21)+SUMIF('2.4. sz. Bölcsőde'!$D$4:$H$4,"önként vállalt",'2.4. sz. Bölcsőde'!D21:H21)+SUMIF('2.5. sz. Gyermekjóléti'!$D$4:$J$4,"önként vállalt",'2.5. sz. Gyermekjóléti'!D21:J21)+SUMIF('2.6 sz. Területi'!$D$4:$V$4,"önként vállalt",'2.6 sz. Területi'!D21:V21)+SUMIF('2.7. sz. Könyvtár'!$D$4:$K$4,"önként vállalt",'2.7. sz. Könyvtár'!D21:K21)+SUMIF('2.8. sz. Műv.Ház'!$D$4:$J$4,"önként vállalt",'2.8. sz. Műv.Ház'!D21:J21)+SUMIF('2.9. sz. Szivárvány Ó.'!$D$4:$H$4,"önként vállalt",'2.9. sz. Szivárvány Ó.'!D21:H21)</f>
        <v>0</v>
      </c>
      <c r="F21" s="8">
        <f>SUMIF('2.1. sz. PMH'!$D$4:$L$4,"államigazgatási",'2.1. sz. PMH'!D21:L21)+SUMIF('2.2. sz. Hétszínvirág Óvoda'!$D$4:$G$4,"államigazgatási",'2.2. sz. Hétszínvirág Óvoda'!D21:G21)+SUMIF('2.3. sz. Mese Óvoda'!$D$4:$I$4,"államigazgatási",'2.3. sz. Mese Óvoda'!D21:I21)+SUMIF('2.4. sz. Bölcsőde'!$D$4:$H$4,"államigazgatási",'2.4. sz. Bölcsőde'!D21:H21)+SUMIF('2.5. sz. Gyermekjóléti'!$D$4:$J$4,"államigazgatási",'2.5. sz. Gyermekjóléti'!D21:J21)+SUMIF('2.6 sz. Területi'!$D$4:$V$4,"államigazgatási",'2.6 sz. Területi'!D21:V21)+SUMIF('2.7. sz. Könyvtár'!$D$4:$K$4,"államigazgatási",'2.7. sz. Könyvtár'!D21:K21)+SUMIF('2.8. sz. Műv.Ház'!$D$4:$J$4,"államigazgatási",'2.8. sz. Műv.Ház'!D21:J21)+SUMIF('2.9. sz. Szivárvány Ó.'!$D$4:$H$4,"államigazgatási",'2.9. sz. Szivárvány Ó.'!D21:H21)</f>
        <v>0</v>
      </c>
      <c r="G21" s="8">
        <f t="shared" si="1"/>
        <v>0</v>
      </c>
      <c r="H21" s="166">
        <f>'2.1. sz. PMH'!M21+'2.2. sz. Hétszínvirág Óvoda'!H21+'2.3. sz. Mese Óvoda'!I21+'2.4. sz. Bölcsőde'!I21+'2.5. sz. Gyermekjóléti'!K21+'2.6 sz. Területi'!W21+'2.7. sz. Könyvtár'!K21</f>
        <v>0</v>
      </c>
      <c r="I21" s="165">
        <f t="shared" si="0"/>
        <v>0</v>
      </c>
    </row>
    <row r="22" spans="1:9" ht="23.25" customHeight="1">
      <c r="A22" s="49" t="s">
        <v>286</v>
      </c>
      <c r="B22" s="177" t="s">
        <v>232</v>
      </c>
      <c r="C22" s="54"/>
      <c r="D22" s="8">
        <f>SUMIF('2.1. sz. PMH'!$D$4:$L$4,"kötelező",'2.1. sz. PMH'!D22:L22)+SUMIF('2.2. sz. Hétszínvirág Óvoda'!$D$4:$G$4,"kötelező",'2.2. sz. Hétszínvirág Óvoda'!D22:G22)+SUMIF('2.3. sz. Mese Óvoda'!$D$4:$I$4,"kötelező",'2.3. sz. Mese Óvoda'!D22:I22)+SUMIF('2.4. sz. Bölcsőde'!$D$4:$H$4,"kötelező",'2.4. sz. Bölcsőde'!D22:H22)+SUMIF('2.5. sz. Gyermekjóléti'!$D$4:$J$4,"kötelező",'2.5. sz. Gyermekjóléti'!D22:J22)+SUMIF('2.6 sz. Területi'!$D$4:$V$4,"kötelező",'2.6 sz. Területi'!D22:V22)+SUMIF('2.7. sz. Könyvtár'!$D$4:$K$4,"kötelező",'2.7. sz. Könyvtár'!D22:K22)+SUMIF('2.8. sz. Műv.Ház'!$D$4:$J$4,"kötelező",'2.8. sz. Műv.Ház'!D22:J22)+SUMIF('2.9. sz. Szivárvány Ó.'!$D$4:$H$4,"kötelező",'2.9. sz. Szivárvány Ó.'!D22:H22)</f>
        <v>0</v>
      </c>
      <c r="E22" s="8">
        <f>SUMIF('2.1. sz. PMH'!$D$4:$L$4,"önként vállalt",'2.1. sz. PMH'!D22:L22)+SUMIF('2.2. sz. Hétszínvirág Óvoda'!$D$4:$G$4,"önként vállalt",'2.2. sz. Hétszínvirág Óvoda'!D22:G22)+SUMIF('2.3. sz. Mese Óvoda'!$D$4:$I$4,"önként vállalt",'2.3. sz. Mese Óvoda'!D22:I22)+SUMIF('2.4. sz. Bölcsőde'!$D$4:$H$4,"önként vállalt",'2.4. sz. Bölcsőde'!D22:H22)+SUMIF('2.5. sz. Gyermekjóléti'!$D$4:$J$4,"önként vállalt",'2.5. sz. Gyermekjóléti'!D22:J22)+SUMIF('2.6 sz. Területi'!$D$4:$V$4,"önként vállalt",'2.6 sz. Területi'!D22:V22)+SUMIF('2.7. sz. Könyvtár'!$D$4:$K$4,"önként vállalt",'2.7. sz. Könyvtár'!D22:K22)+SUMIF('2.8. sz. Műv.Ház'!$D$4:$J$4,"önként vállalt",'2.8. sz. Műv.Ház'!D22:J22)+SUMIF('2.9. sz. Szivárvány Ó.'!$D$4:$H$4,"önként vállalt",'2.9. sz. Szivárvány Ó.'!D22:H22)</f>
        <v>0</v>
      </c>
      <c r="F22" s="8">
        <f>SUMIF('2.1. sz. PMH'!$D$4:$L$4,"államigazgatási",'2.1. sz. PMH'!D22:L22)+SUMIF('2.2. sz. Hétszínvirág Óvoda'!$D$4:$G$4,"államigazgatási",'2.2. sz. Hétszínvirág Óvoda'!D22:G22)+SUMIF('2.3. sz. Mese Óvoda'!$D$4:$I$4,"államigazgatási",'2.3. sz. Mese Óvoda'!D22:I22)+SUMIF('2.4. sz. Bölcsőde'!$D$4:$H$4,"államigazgatási",'2.4. sz. Bölcsőde'!D22:H22)+SUMIF('2.5. sz. Gyermekjóléti'!$D$4:$J$4,"államigazgatási",'2.5. sz. Gyermekjóléti'!D22:J22)+SUMIF('2.6 sz. Területi'!$D$4:$V$4,"államigazgatási",'2.6 sz. Területi'!D22:V22)+SUMIF('2.7. sz. Könyvtár'!$D$4:$K$4,"államigazgatási",'2.7. sz. Könyvtár'!D22:K22)+SUMIF('2.8. sz. Műv.Ház'!$D$4:$J$4,"államigazgatási",'2.8. sz. Műv.Ház'!D22:J22)+SUMIF('2.9. sz. Szivárvány Ó.'!$D$4:$H$4,"államigazgatási",'2.9. sz. Szivárvány Ó.'!D22:H22)</f>
        <v>0</v>
      </c>
      <c r="G22" s="8">
        <f t="shared" si="1"/>
        <v>0</v>
      </c>
      <c r="H22" s="166">
        <f>'2.1. sz. PMH'!M22+'2.2. sz. Hétszínvirág Óvoda'!H22+'2.3. sz. Mese Óvoda'!I22+'2.4. sz. Bölcsőde'!I22+'2.5. sz. Gyermekjóléti'!K22+'2.6 sz. Területi'!W22+'2.7. sz. Könyvtár'!K22</f>
        <v>0</v>
      </c>
      <c r="I22" s="165">
        <f t="shared" si="0"/>
        <v>0</v>
      </c>
    </row>
    <row r="23" spans="1:9" ht="23.25" customHeight="1">
      <c r="A23" s="49" t="s">
        <v>287</v>
      </c>
      <c r="B23" s="56" t="s">
        <v>741</v>
      </c>
      <c r="C23" s="54"/>
      <c r="D23" s="8">
        <f>SUMIF('2.1. sz. PMH'!$D$4:$L$4,"kötelező",'2.1. sz. PMH'!D23:L23)+SUMIF('2.2. sz. Hétszínvirág Óvoda'!$D$4:$G$4,"kötelező",'2.2. sz. Hétszínvirág Óvoda'!D23:G23)+SUMIF('2.3. sz. Mese Óvoda'!$D$4:$I$4,"kötelező",'2.3. sz. Mese Óvoda'!D23:I23)+SUMIF('2.4. sz. Bölcsőde'!$D$4:$H$4,"kötelező",'2.4. sz. Bölcsőde'!D23:H23)+SUMIF('2.5. sz. Gyermekjóléti'!$D$4:$J$4,"kötelező",'2.5. sz. Gyermekjóléti'!D23:J23)+SUMIF('2.6 sz. Területi'!$D$4:$V$4,"kötelező",'2.6 sz. Területi'!D23:V23)+SUMIF('2.7. sz. Könyvtár'!$D$4:$K$4,"kötelező",'2.7. sz. Könyvtár'!D23:K23)+SUMIF('2.8. sz. Műv.Ház'!$D$4:$J$4,"kötelező",'2.8. sz. Műv.Ház'!D23:J23)+SUMIF('2.9. sz. Szivárvány Ó.'!$D$4:$H$4,"kötelező",'2.9. sz. Szivárvány Ó.'!D23:H23)</f>
        <v>0</v>
      </c>
      <c r="E23" s="8">
        <f>SUMIF('2.1. sz. PMH'!$D$4:$L$4,"önként vállalt",'2.1. sz. PMH'!D23:L23)+SUMIF('2.2. sz. Hétszínvirág Óvoda'!$D$4:$G$4,"önként vállalt",'2.2. sz. Hétszínvirág Óvoda'!D23:G23)+SUMIF('2.3. sz. Mese Óvoda'!$D$4:$I$4,"önként vállalt",'2.3. sz. Mese Óvoda'!D23:I23)+SUMIF('2.4. sz. Bölcsőde'!$D$4:$H$4,"önként vállalt",'2.4. sz. Bölcsőde'!D23:H23)+SUMIF('2.5. sz. Gyermekjóléti'!$D$4:$J$4,"önként vállalt",'2.5. sz. Gyermekjóléti'!D23:J23)+SUMIF('2.6 sz. Területi'!$D$4:$V$4,"önként vállalt",'2.6 sz. Területi'!D23:V23)+SUMIF('2.7. sz. Könyvtár'!$D$4:$K$4,"önként vállalt",'2.7. sz. Könyvtár'!D23:K23)+SUMIF('2.8. sz. Műv.Ház'!$D$4:$J$4,"önként vállalt",'2.8. sz. Műv.Ház'!D23:J23)+SUMIF('2.9. sz. Szivárvány Ó.'!$D$4:$H$4,"önként vállalt",'2.9. sz. Szivárvány Ó.'!D23:H23)</f>
        <v>0</v>
      </c>
      <c r="F23" s="8">
        <f>SUMIF('2.1. sz. PMH'!$D$4:$L$4,"államigazgatási",'2.1. sz. PMH'!D23:L23)+SUMIF('2.2. sz. Hétszínvirág Óvoda'!$D$4:$G$4,"államigazgatási",'2.2. sz. Hétszínvirág Óvoda'!D23:G23)+SUMIF('2.3. sz. Mese Óvoda'!$D$4:$I$4,"államigazgatási",'2.3. sz. Mese Óvoda'!D23:I23)+SUMIF('2.4. sz. Bölcsőde'!$D$4:$H$4,"államigazgatási",'2.4. sz. Bölcsőde'!D23:H23)+SUMIF('2.5. sz. Gyermekjóléti'!$D$4:$J$4,"államigazgatási",'2.5. sz. Gyermekjóléti'!D23:J23)+SUMIF('2.6 sz. Területi'!$D$4:$V$4,"államigazgatási",'2.6 sz. Területi'!D23:V23)+SUMIF('2.7. sz. Könyvtár'!$D$4:$K$4,"államigazgatási",'2.7. sz. Könyvtár'!D23:K23)+SUMIF('2.8. sz. Műv.Ház'!$D$4:$J$4,"államigazgatási",'2.8. sz. Műv.Ház'!D23:J23)+SUMIF('2.9. sz. Szivárvány Ó.'!$D$4:$H$4,"államigazgatási",'2.9. sz. Szivárvány Ó.'!D23:H23)</f>
        <v>0</v>
      </c>
      <c r="G23" s="8">
        <f t="shared" si="1"/>
        <v>0</v>
      </c>
      <c r="H23" s="166">
        <f>'2.1. sz. PMH'!M23+'2.2. sz. Hétszínvirág Óvoda'!H23+'2.3. sz. Mese Óvoda'!I23+'2.4. sz. Bölcsőde'!I23+'2.5. sz. Gyermekjóléti'!K23+'2.6 sz. Területi'!W23+'2.7. sz. Könyvtár'!K23</f>
        <v>0</v>
      </c>
      <c r="I23" s="165">
        <f t="shared" si="0"/>
        <v>0</v>
      </c>
    </row>
    <row r="24" spans="1:9" ht="23.25" customHeight="1">
      <c r="A24" s="49" t="s">
        <v>288</v>
      </c>
      <c r="B24" s="56" t="s">
        <v>742</v>
      </c>
      <c r="C24" s="54"/>
      <c r="D24" s="8">
        <f>SUMIF('2.1. sz. PMH'!$D$4:$L$4,"kötelező",'2.1. sz. PMH'!D24:L24)+SUMIF('2.2. sz. Hétszínvirág Óvoda'!$D$4:$G$4,"kötelező",'2.2. sz. Hétszínvirág Óvoda'!D24:G24)+SUMIF('2.3. sz. Mese Óvoda'!$D$4:$I$4,"kötelező",'2.3. sz. Mese Óvoda'!D24:I24)+SUMIF('2.4. sz. Bölcsőde'!$D$4:$H$4,"kötelező",'2.4. sz. Bölcsőde'!D24:H24)+SUMIF('2.5. sz. Gyermekjóléti'!$D$4:$J$4,"kötelező",'2.5. sz. Gyermekjóléti'!D24:J24)+SUMIF('2.6 sz. Területi'!$D$4:$V$4,"kötelező",'2.6 sz. Területi'!D24:V24)+SUMIF('2.7. sz. Könyvtár'!$D$4:$K$4,"kötelező",'2.7. sz. Könyvtár'!D24:K24)+SUMIF('2.8. sz. Műv.Ház'!$D$4:$J$4,"kötelező",'2.8. sz. Műv.Ház'!D24:J24)+SUMIF('2.9. sz. Szivárvány Ó.'!$D$4:$H$4,"kötelező",'2.9. sz. Szivárvány Ó.'!D24:H24)</f>
        <v>0</v>
      </c>
      <c r="E24" s="8">
        <f>SUMIF('2.1. sz. PMH'!$D$4:$L$4,"önként vállalt",'2.1. sz. PMH'!D24:L24)+SUMIF('2.2. sz. Hétszínvirág Óvoda'!$D$4:$G$4,"önként vállalt",'2.2. sz. Hétszínvirág Óvoda'!D24:G24)+SUMIF('2.3. sz. Mese Óvoda'!$D$4:$I$4,"önként vállalt",'2.3. sz. Mese Óvoda'!D24:I24)+SUMIF('2.4. sz. Bölcsőde'!$D$4:$H$4,"önként vállalt",'2.4. sz. Bölcsőde'!D24:H24)+SUMIF('2.5. sz. Gyermekjóléti'!$D$4:$J$4,"önként vállalt",'2.5. sz. Gyermekjóléti'!D24:J24)+SUMIF('2.6 sz. Területi'!$D$4:$V$4,"önként vállalt",'2.6 sz. Területi'!D24:V24)+SUMIF('2.7. sz. Könyvtár'!$D$4:$K$4,"önként vállalt",'2.7. sz. Könyvtár'!D24:K24)+SUMIF('2.8. sz. Műv.Ház'!$D$4:$J$4,"önként vállalt",'2.8. sz. Műv.Ház'!D24:J24)+SUMIF('2.9. sz. Szivárvány Ó.'!$D$4:$H$4,"önként vállalt",'2.9. sz. Szivárvány Ó.'!D24:H24)</f>
        <v>0</v>
      </c>
      <c r="F24" s="8">
        <f>SUMIF('2.1. sz. PMH'!$D$4:$L$4,"államigazgatási",'2.1. sz. PMH'!D24:L24)+SUMIF('2.2. sz. Hétszínvirág Óvoda'!$D$4:$G$4,"államigazgatási",'2.2. sz. Hétszínvirág Óvoda'!D24:G24)+SUMIF('2.3. sz. Mese Óvoda'!$D$4:$I$4,"államigazgatási",'2.3. sz. Mese Óvoda'!D24:I24)+SUMIF('2.4. sz. Bölcsőde'!$D$4:$H$4,"államigazgatási",'2.4. sz. Bölcsőde'!D24:H24)+SUMIF('2.5. sz. Gyermekjóléti'!$D$4:$J$4,"államigazgatási",'2.5. sz. Gyermekjóléti'!D24:J24)+SUMIF('2.6 sz. Területi'!$D$4:$V$4,"államigazgatási",'2.6 sz. Területi'!D24:V24)+SUMIF('2.7. sz. Könyvtár'!$D$4:$K$4,"államigazgatási",'2.7. sz. Könyvtár'!D24:K24)+SUMIF('2.8. sz. Műv.Ház'!$D$4:$J$4,"államigazgatási",'2.8. sz. Műv.Ház'!D24:J24)+SUMIF('2.9. sz. Szivárvány Ó.'!$D$4:$H$4,"államigazgatási",'2.9. sz. Szivárvány Ó.'!D24:H24)</f>
        <v>0</v>
      </c>
      <c r="G24" s="8">
        <f t="shared" si="1"/>
        <v>0</v>
      </c>
      <c r="H24" s="166">
        <f>'2.1. sz. PMH'!M24+'2.2. sz. Hétszínvirág Óvoda'!H24+'2.3. sz. Mese Óvoda'!I24+'2.4. sz. Bölcsőde'!I24+'2.5. sz. Gyermekjóléti'!K24+'2.6 sz. Területi'!W24+'2.7. sz. Könyvtár'!K24</f>
        <v>0</v>
      </c>
      <c r="I24" s="165">
        <f t="shared" si="0"/>
        <v>0</v>
      </c>
    </row>
    <row r="25" spans="1:9" ht="23.25" customHeight="1">
      <c r="A25" s="49" t="s">
        <v>289</v>
      </c>
      <c r="B25" s="56" t="s">
        <v>160</v>
      </c>
      <c r="C25" s="54"/>
      <c r="D25" s="8">
        <f>SUMIF('2.1. sz. PMH'!$D$4:$L$4,"kötelező",'2.1. sz. PMH'!D25:L25)+SUMIF('2.2. sz. Hétszínvirág Óvoda'!$D$4:$G$4,"kötelező",'2.2. sz. Hétszínvirág Óvoda'!D25:G25)+SUMIF('2.3. sz. Mese Óvoda'!$D$4:$I$4,"kötelező",'2.3. sz. Mese Óvoda'!D25:I25)+SUMIF('2.4. sz. Bölcsőde'!$D$4:$H$4,"kötelező",'2.4. sz. Bölcsőde'!D25:H25)+SUMIF('2.5. sz. Gyermekjóléti'!$D$4:$J$4,"kötelező",'2.5. sz. Gyermekjóléti'!D25:J25)+SUMIF('2.6 sz. Területi'!$D$4:$V$4,"kötelező",'2.6 sz. Területi'!D25:V25)+SUMIF('2.7. sz. Könyvtár'!$D$4:$K$4,"kötelező",'2.7. sz. Könyvtár'!D25:K25)+SUMIF('2.8. sz. Műv.Ház'!$D$4:$J$4,"kötelező",'2.8. sz. Műv.Ház'!D25:J25)+SUMIF('2.9. sz. Szivárvány Ó.'!$D$4:$H$4,"kötelező",'2.9. sz. Szivárvány Ó.'!D25:H25)</f>
        <v>0</v>
      </c>
      <c r="E25" s="8">
        <f>SUMIF('2.1. sz. PMH'!$D$4:$L$4,"önként vállalt",'2.1. sz. PMH'!D25:L25)+SUMIF('2.2. sz. Hétszínvirág Óvoda'!$D$4:$G$4,"önként vállalt",'2.2. sz. Hétszínvirág Óvoda'!D25:G25)+SUMIF('2.3. sz. Mese Óvoda'!$D$4:$I$4,"önként vállalt",'2.3. sz. Mese Óvoda'!D25:I25)+SUMIF('2.4. sz. Bölcsőde'!$D$4:$H$4,"önként vállalt",'2.4. sz. Bölcsőde'!D25:H25)+SUMIF('2.5. sz. Gyermekjóléti'!$D$4:$J$4,"önként vállalt",'2.5. sz. Gyermekjóléti'!D25:J25)+SUMIF('2.6 sz. Területi'!$D$4:$V$4,"önként vállalt",'2.6 sz. Területi'!D25:V25)+SUMIF('2.7. sz. Könyvtár'!$D$4:$K$4,"önként vállalt",'2.7. sz. Könyvtár'!D25:K25)+SUMIF('2.8. sz. Műv.Ház'!$D$4:$J$4,"önként vállalt",'2.8. sz. Műv.Ház'!D25:J25)+SUMIF('2.9. sz. Szivárvány Ó.'!$D$4:$H$4,"önként vállalt",'2.9. sz. Szivárvány Ó.'!D25:H25)</f>
        <v>0</v>
      </c>
      <c r="F25" s="8">
        <f>SUMIF('2.1. sz. PMH'!$D$4:$L$4,"államigazgatási",'2.1. sz. PMH'!D25:L25)+SUMIF('2.2. sz. Hétszínvirág Óvoda'!$D$4:$G$4,"államigazgatási",'2.2. sz. Hétszínvirág Óvoda'!D25:G25)+SUMIF('2.3. sz. Mese Óvoda'!$D$4:$I$4,"államigazgatási",'2.3. sz. Mese Óvoda'!D25:I25)+SUMIF('2.4. sz. Bölcsőde'!$D$4:$H$4,"államigazgatási",'2.4. sz. Bölcsőde'!D25:H25)+SUMIF('2.5. sz. Gyermekjóléti'!$D$4:$J$4,"államigazgatási",'2.5. sz. Gyermekjóléti'!D25:J25)+SUMIF('2.6 sz. Területi'!$D$4:$V$4,"államigazgatási",'2.6 sz. Területi'!D25:V25)+SUMIF('2.7. sz. Könyvtár'!$D$4:$K$4,"államigazgatási",'2.7. sz. Könyvtár'!D25:K25)+SUMIF('2.8. sz. Műv.Ház'!$D$4:$J$4,"államigazgatási",'2.8. sz. Műv.Ház'!D25:J25)+SUMIF('2.9. sz. Szivárvány Ó.'!$D$4:$H$4,"államigazgatási",'2.9. sz. Szivárvány Ó.'!D25:H25)</f>
        <v>0</v>
      </c>
      <c r="G25" s="8">
        <f t="shared" si="1"/>
        <v>0</v>
      </c>
      <c r="H25" s="166">
        <f>'2.1. sz. PMH'!M25+'2.2. sz. Hétszínvirág Óvoda'!H25+'2.3. sz. Mese Óvoda'!I25+'2.4. sz. Bölcsőde'!I25+'2.5. sz. Gyermekjóléti'!K25+'2.6 sz. Területi'!W25+'2.7. sz. Könyvtár'!K25</f>
        <v>0</v>
      </c>
      <c r="I25" s="165">
        <f t="shared" si="0"/>
        <v>0</v>
      </c>
    </row>
    <row r="26" spans="1:9" ht="23.25" customHeight="1">
      <c r="A26" s="49" t="s">
        <v>290</v>
      </c>
      <c r="B26" s="510" t="s">
        <v>1408</v>
      </c>
      <c r="C26" s="54"/>
      <c r="D26" s="8"/>
      <c r="E26" s="8"/>
      <c r="F26" s="8"/>
      <c r="G26" s="8"/>
      <c r="H26" s="166"/>
      <c r="I26" s="165"/>
    </row>
    <row r="27" spans="1:10" s="60" customFormat="1" ht="23.25" customHeight="1">
      <c r="A27" s="49" t="s">
        <v>291</v>
      </c>
      <c r="B27" s="57" t="s">
        <v>33</v>
      </c>
      <c r="C27" s="50"/>
      <c r="D27" s="9">
        <f>SUMIF('2.1. sz. PMH'!$D$4:$L$4,"kötelező",'2.1. sz. PMH'!D27:L27)+SUMIF('2.2. sz. Hétszínvirág Óvoda'!$D$4:$G$4,"kötelező",'2.2. sz. Hétszínvirág Óvoda'!D27:G27)+SUMIF('2.3. sz. Mese Óvoda'!$D$4:$I$4,"kötelező",'2.3. sz. Mese Óvoda'!D27:I27)+SUMIF('2.4. sz. Bölcsőde'!$D$4:$H$4,"kötelező",'2.4. sz. Bölcsőde'!D27:H27)+SUMIF('2.5. sz. Gyermekjóléti'!$D$4:$J$4,"kötelező",'2.5. sz. Gyermekjóléti'!D27:J27)+SUMIF('2.6 sz. Területi'!$D$4:$V$4,"kötelező",'2.6 sz. Területi'!D27:V27)+SUMIF('2.7. sz. Könyvtár'!$D$4:$K$4,"kötelező",'2.7. sz. Könyvtár'!D27:K27)+SUMIF('2.8. sz. Műv.Ház'!$D$4:$J$4,"kötelező",'2.8. sz. Műv.Ház'!D27:J27)+SUMIF('2.9. sz. Szivárvány Ó.'!$D$4:$H$4,"kötelező",'2.9. sz. Szivárvány Ó.'!D27:H27)</f>
        <v>2454034603</v>
      </c>
      <c r="E27" s="9">
        <f>SUMIF('2.1. sz. PMH'!$D$4:$L$4,"önként vállalt",'2.1. sz. PMH'!D27:L27)+SUMIF('2.2. sz. Hétszínvirág Óvoda'!$D$4:$G$4,"önként vállalt",'2.2. sz. Hétszínvirág Óvoda'!D27:G27)+SUMIF('2.3. sz. Mese Óvoda'!$D$4:$I$4,"önként vállalt",'2.3. sz. Mese Óvoda'!D27:I27)+SUMIF('2.4. sz. Bölcsőde'!$D$4:$H$4,"önként vállalt",'2.4. sz. Bölcsőde'!D27:H27)+SUMIF('2.5. sz. Gyermekjóléti'!$D$4:$J$4,"önként vállalt",'2.5. sz. Gyermekjóléti'!D27:J27)+SUMIF('2.6 sz. Területi'!$D$4:$V$4,"önként vállalt",'2.6 sz. Területi'!D27:V27)+SUMIF('2.7. sz. Könyvtár'!$D$4:$K$4,"önként vállalt",'2.7. sz. Könyvtár'!D27:K27)+SUMIF('2.8. sz. Műv.Ház'!$D$4:$J$4,"önként vállalt",'2.8. sz. Műv.Ház'!D27:J27)+SUMIF('2.9. sz. Szivárvány Ó.'!$D$4:$H$4,"önként vállalt",'2.9. sz. Szivárvány Ó.'!D27:H27)</f>
        <v>25051326</v>
      </c>
      <c r="F27" s="9">
        <f>SUMIF('2.1. sz. PMH'!$D$4:$L$4,"államigazgatási",'2.1. sz. PMH'!D27:L27)+SUMIF('2.2. sz. Hétszínvirág Óvoda'!$D$4:$G$4,"államigazgatási",'2.2. sz. Hétszínvirág Óvoda'!D27:G27)+SUMIF('2.3. sz. Mese Óvoda'!$D$4:$I$4,"államigazgatási",'2.3. sz. Mese Óvoda'!D27:I27)+SUMIF('2.4. sz. Bölcsőde'!$D$4:$H$4,"államigazgatási",'2.4. sz. Bölcsőde'!D27:H27)+SUMIF('2.5. sz. Gyermekjóléti'!$D$4:$J$4,"államigazgatási",'2.5. sz. Gyermekjóléti'!D27:J27)+SUMIF('2.6 sz. Területi'!$D$4:$V$4,"államigazgatási",'2.6 sz. Területi'!D27:V27)+SUMIF('2.7. sz. Könyvtár'!$D$4:$K$4,"államigazgatási",'2.7. sz. Könyvtár'!D27:K27)+SUMIF('2.8. sz. Műv.Ház'!$D$4:$J$4,"államigazgatási",'2.8. sz. Műv.Ház'!D27:J27)+SUMIF('2.9. sz. Szivárvány Ó.'!$D$4:$H$4,"államigazgatási",'2.9. sz. Szivárvány Ó.'!D27:H27)</f>
        <v>81827611</v>
      </c>
      <c r="G27" s="9">
        <f t="shared" si="1"/>
        <v>2560913540</v>
      </c>
      <c r="H27" s="166">
        <f>'2.1. sz. PMH'!M27+'2.2. sz. Hétszínvirág Óvoda'!H27+'2.3. sz. Mese Óvoda'!I27+'2.4. sz. Bölcsőde'!I27+'2.5. sz. Gyermekjóléti'!K27+'2.6 sz. Területi'!W27+'2.7. sz. Könyvtár'!K27</f>
        <v>2261061819</v>
      </c>
      <c r="I27" s="165">
        <f t="shared" si="0"/>
        <v>-299851721</v>
      </c>
      <c r="J27" s="167">
        <f>+G8+G9+G10+G11+G13+G14+G15</f>
        <v>2560913540</v>
      </c>
    </row>
    <row r="28" spans="1:9" s="60" customFormat="1" ht="23.25" customHeight="1">
      <c r="A28" s="49" t="s">
        <v>322</v>
      </c>
      <c r="B28" s="57" t="s">
        <v>34</v>
      </c>
      <c r="C28" s="50"/>
      <c r="D28" s="9">
        <f>SUMIF('2.1. sz. PMH'!$D$4:$L$4,"kötelező",'2.1. sz. PMH'!D28:L28)+SUMIF('2.2. sz. Hétszínvirág Óvoda'!$D$4:$G$4,"kötelező",'2.2. sz. Hétszínvirág Óvoda'!D28:G28)+SUMIF('2.3. sz. Mese Óvoda'!$D$4:$I$4,"kötelező",'2.3. sz. Mese Óvoda'!D28:I28)+SUMIF('2.4. sz. Bölcsőde'!$D$4:$H$4,"kötelező",'2.4. sz. Bölcsőde'!D28:H28)+SUMIF('2.5. sz. Gyermekjóléti'!$D$4:$J$4,"kötelező",'2.5. sz. Gyermekjóléti'!D28:J28)+SUMIF('2.6 sz. Területi'!$D$4:$V$4,"kötelező",'2.6 sz. Területi'!D28:V28)+SUMIF('2.7. sz. Könyvtár'!$D$4:$K$4,"kötelező",'2.7. sz. Könyvtár'!D28:K28)+SUMIF('2.8. sz. Műv.Ház'!$D$4:$J$4,"kötelező",'2.8. sz. Műv.Ház'!D28:J28)+SUMIF('2.9. sz. Szivárvány Ó.'!$D$4:$H$4,"kötelező",'2.9. sz. Szivárvány Ó.'!D28:H28)</f>
        <v>61084179</v>
      </c>
      <c r="E28" s="9">
        <f>SUMIF('2.1. sz. PMH'!$D$4:$L$4,"önként vállalt",'2.1. sz. PMH'!D28:L28)+SUMIF('2.2. sz. Hétszínvirág Óvoda'!$D$4:$G$4,"önként vállalt",'2.2. sz. Hétszínvirág Óvoda'!D28:G28)+SUMIF('2.3. sz. Mese Óvoda'!$D$4:$I$4,"önként vállalt",'2.3. sz. Mese Óvoda'!D28:I28)+SUMIF('2.4. sz. Bölcsőde'!$D$4:$H$4,"önként vállalt",'2.4. sz. Bölcsőde'!D28:H28)+SUMIF('2.5. sz. Gyermekjóléti'!$D$4:$J$4,"önként vállalt",'2.5. sz. Gyermekjóléti'!D28:J28)+SUMIF('2.6 sz. Területi'!$D$4:$V$4,"önként vállalt",'2.6 sz. Területi'!D28:V28)+SUMIF('2.7. sz. Könyvtár'!$D$4:$K$4,"önként vállalt",'2.7. sz. Könyvtár'!D28:K28)+SUMIF('2.8. sz. Műv.Ház'!$D$4:$J$4,"önként vállalt",'2.8. sz. Műv.Ház'!D28:J28)+SUMIF('2.9. sz. Szivárvány Ó.'!$D$4:$H$4,"önként vállalt",'2.9. sz. Szivárvány Ó.'!D28:H28)</f>
        <v>6254000</v>
      </c>
      <c r="F28" s="9">
        <f>SUMIF('2.1. sz. PMH'!$D$4:$L$4,"államigazgatási",'2.1. sz. PMH'!D28:L28)+SUMIF('2.2. sz. Hétszínvirág Óvoda'!$D$4:$G$4,"államigazgatási",'2.2. sz. Hétszínvirág Óvoda'!D28:G28)+SUMIF('2.3. sz. Mese Óvoda'!$D$4:$I$4,"államigazgatási",'2.3. sz. Mese Óvoda'!D28:I28)+SUMIF('2.4. sz. Bölcsőde'!$D$4:$H$4,"államigazgatási",'2.4. sz. Bölcsőde'!D28:H28)+SUMIF('2.5. sz. Gyermekjóléti'!$D$4:$J$4,"államigazgatási",'2.5. sz. Gyermekjóléti'!D28:J28)+SUMIF('2.6 sz. Területi'!$D$4:$V$4,"államigazgatási",'2.6 sz. Területi'!D28:V28)+SUMIF('2.7. sz. Könyvtár'!$D$4:$K$4,"államigazgatási",'2.7. sz. Könyvtár'!D28:K28)+SUMIF('2.8. sz. Műv.Ház'!$D$4:$J$4,"államigazgatási",'2.8. sz. Műv.Ház'!D28:J28)+SUMIF('2.9. sz. Szivárvány Ó.'!$D$4:$H$4,"államigazgatási",'2.9. sz. Szivárvány Ó.'!D28:H28)</f>
        <v>571500</v>
      </c>
      <c r="G28" s="9">
        <f t="shared" si="1"/>
        <v>67909679</v>
      </c>
      <c r="H28" s="166">
        <f>'2.1. sz. PMH'!M28+'2.2. sz. Hétszínvirág Óvoda'!H28+'2.3. sz. Mese Óvoda'!I28+'2.4. sz. Bölcsőde'!I28+'2.5. sz. Gyermekjóléti'!K28+'2.6 sz. Területi'!W28+'2.7. sz. Könyvtár'!K28</f>
        <v>65258679</v>
      </c>
      <c r="I28" s="165">
        <f t="shared" si="0"/>
        <v>-2651000</v>
      </c>
    </row>
    <row r="29" spans="1:9" s="60" customFormat="1" ht="23.25" customHeight="1">
      <c r="A29" s="49" t="s">
        <v>323</v>
      </c>
      <c r="B29" s="57" t="s">
        <v>398</v>
      </c>
      <c r="C29" s="50" t="s">
        <v>32</v>
      </c>
      <c r="D29" s="9">
        <f>SUMIF('2.1. sz. PMH'!$D$4:$L$4,"kötelező",'2.1. sz. PMH'!D29:L29)+SUMIF('2.2. sz. Hétszínvirág Óvoda'!$D$4:$G$4,"kötelező",'2.2. sz. Hétszínvirág Óvoda'!D29:G29)+SUMIF('2.3. sz. Mese Óvoda'!$D$4:$I$4,"kötelező",'2.3. sz. Mese Óvoda'!D29:I29)+SUMIF('2.4. sz. Bölcsőde'!$D$4:$H$4,"kötelező",'2.4. sz. Bölcsőde'!D29:H29)+SUMIF('2.5. sz. Gyermekjóléti'!$D$4:$J$4,"kötelező",'2.5. sz. Gyermekjóléti'!D29:J29)+SUMIF('2.6 sz. Területi'!$D$4:$V$4,"kötelező",'2.6 sz. Területi'!D29:V29)+SUMIF('2.7. sz. Könyvtár'!$D$4:$K$4,"kötelező",'2.7. sz. Könyvtár'!D29:K29)+SUMIF('2.8. sz. Műv.Ház'!$D$4:$J$4,"kötelező",'2.8. sz. Műv.Ház'!D29:J29)+SUMIF('2.9. sz. Szivárvány Ó.'!$D$4:$H$4,"kötelező",'2.9. sz. Szivárvány Ó.'!D29:H29)</f>
        <v>2515118782</v>
      </c>
      <c r="E29" s="9">
        <f>SUMIF('2.1. sz. PMH'!$D$4:$L$4,"önként vállalt",'2.1. sz. PMH'!D29:L29)+SUMIF('2.2. sz. Hétszínvirág Óvoda'!$D$4:$G$4,"önként vállalt",'2.2. sz. Hétszínvirág Óvoda'!D29:G29)+SUMIF('2.3. sz. Mese Óvoda'!$D$4:$I$4,"önként vállalt",'2.3. sz. Mese Óvoda'!D29:I29)+SUMIF('2.4. sz. Bölcsőde'!$D$4:$H$4,"önként vállalt",'2.4. sz. Bölcsőde'!D29:H29)+SUMIF('2.5. sz. Gyermekjóléti'!$D$4:$J$4,"önként vállalt",'2.5. sz. Gyermekjóléti'!D29:J29)+SUMIF('2.6 sz. Területi'!$D$4:$V$4,"önként vállalt",'2.6 sz. Területi'!D29:V29)+SUMIF('2.7. sz. Könyvtár'!$D$4:$K$4,"önként vállalt",'2.7. sz. Könyvtár'!D29:K29)+SUMIF('2.8. sz. Műv.Ház'!$D$4:$J$4,"önként vállalt",'2.8. sz. Műv.Ház'!D29:J29)+SUMIF('2.9. sz. Szivárvány Ó.'!$D$4:$H$4,"önként vállalt",'2.9. sz. Szivárvány Ó.'!D29:H29)</f>
        <v>31305326</v>
      </c>
      <c r="F29" s="9">
        <f>SUMIF('2.1. sz. PMH'!$D$4:$L$4,"államigazgatási",'2.1. sz. PMH'!D29:L29)+SUMIF('2.2. sz. Hétszínvirág Óvoda'!$D$4:$G$4,"államigazgatási",'2.2. sz. Hétszínvirág Óvoda'!D29:G29)+SUMIF('2.3. sz. Mese Óvoda'!$D$4:$I$4,"államigazgatási",'2.3. sz. Mese Óvoda'!D29:I29)+SUMIF('2.4. sz. Bölcsőde'!$D$4:$H$4,"államigazgatási",'2.4. sz. Bölcsőde'!D29:H29)+SUMIF('2.5. sz. Gyermekjóléti'!$D$4:$J$4,"államigazgatási",'2.5. sz. Gyermekjóléti'!D29:J29)+SUMIF('2.6 sz. Területi'!$D$4:$V$4,"államigazgatási",'2.6 sz. Területi'!D29:V29)+SUMIF('2.7. sz. Könyvtár'!$D$4:$K$4,"államigazgatási",'2.7. sz. Könyvtár'!D29:K29)+SUMIF('2.8. sz. Műv.Ház'!$D$4:$J$4,"államigazgatási",'2.8. sz. Műv.Ház'!D29:J29)+SUMIF('2.9. sz. Szivárvány Ó.'!$D$4:$H$4,"államigazgatási",'2.9. sz. Szivárvány Ó.'!D29:H29)</f>
        <v>82399111</v>
      </c>
      <c r="G29" s="9">
        <f t="shared" si="1"/>
        <v>2628823219</v>
      </c>
      <c r="H29" s="166">
        <f>'2.1. sz. PMH'!M29+'2.2. sz. Hétszínvirág Óvoda'!H29+'2.3. sz. Mese Óvoda'!I29+'2.4. sz. Bölcsőde'!I29+'2.5. sz. Gyermekjóléti'!K29+'2.6 sz. Területi'!W29+'2.7. sz. Könyvtár'!K29</f>
        <v>2326320498</v>
      </c>
      <c r="I29" s="165">
        <f t="shared" si="0"/>
        <v>-302502721</v>
      </c>
    </row>
    <row r="30" spans="1:9" ht="23.25" customHeight="1">
      <c r="A30" s="49" t="s">
        <v>324</v>
      </c>
      <c r="B30" s="51" t="s">
        <v>54</v>
      </c>
      <c r="C30" s="55" t="s">
        <v>267</v>
      </c>
      <c r="D30" s="8">
        <f>SUMIF('2.1. sz. PMH'!$D$4:$L$4,"kötelező",'2.1. sz. PMH'!D30:L30)+SUMIF('2.2. sz. Hétszínvirág Óvoda'!$D$4:$G$4,"kötelező",'2.2. sz. Hétszínvirág Óvoda'!D30:G30)+SUMIF('2.3. sz. Mese Óvoda'!$D$4:$I$4,"kötelező",'2.3. sz. Mese Óvoda'!D30:I30)+SUMIF('2.4. sz. Bölcsőde'!$D$4:$H$4,"kötelező",'2.4. sz. Bölcsőde'!D30:H30)+SUMIF('2.5. sz. Gyermekjóléti'!$D$4:$J$4,"kötelező",'2.5. sz. Gyermekjóléti'!D30:J30)+SUMIF('2.6 sz. Területi'!$D$4:$V$4,"kötelező",'2.6 sz. Területi'!D30:V30)+SUMIF('2.7. sz. Könyvtár'!$D$4:$K$4,"kötelező",'2.7. sz. Könyvtár'!D30:K30)+SUMIF('2.8. sz. Műv.Ház'!$D$4:$J$4,"kötelező",'2.8. sz. Műv.Ház'!D30:J30)+SUMIF('2.9. sz. Szivárvány Ó.'!$D$4:$H$4,"kötelező",'2.9. sz. Szivárvány Ó.'!D30:H30)</f>
        <v>46090000</v>
      </c>
      <c r="E30" s="8">
        <f>SUMIF('2.1. sz. PMH'!$D$4:$L$4,"önként vállalt",'2.1. sz. PMH'!D30:L30)+SUMIF('2.2. sz. Hétszínvirág Óvoda'!$D$4:$G$4,"önként vállalt",'2.2. sz. Hétszínvirág Óvoda'!D30:G30)+SUMIF('2.3. sz. Mese Óvoda'!$D$4:$I$4,"önként vállalt",'2.3. sz. Mese Óvoda'!D30:I30)+SUMIF('2.4. sz. Bölcsőde'!$D$4:$H$4,"önként vállalt",'2.4. sz. Bölcsőde'!D30:H30)+SUMIF('2.5. sz. Gyermekjóléti'!$D$4:$J$4,"önként vállalt",'2.5. sz. Gyermekjóléti'!D30:J30)+SUMIF('2.6 sz. Területi'!$D$4:$V$4,"önként vállalt",'2.6 sz. Területi'!D30:V30)+SUMIF('2.7. sz. Könyvtár'!$D$4:$K$4,"önként vállalt",'2.7. sz. Könyvtár'!D30:K30)+SUMIF('2.8. sz. Műv.Ház'!$D$4:$J$4,"önként vállalt",'2.8. sz. Műv.Ház'!D30:J30)+SUMIF('2.9. sz. Szivárvány Ó.'!$D$4:$H$4,"önként vállalt",'2.9. sz. Szivárvány Ó.'!D30:H30)</f>
        <v>0</v>
      </c>
      <c r="F30" s="8">
        <f>SUMIF('2.1. sz. PMH'!$D$4:$L$4,"államigazgatási",'2.1. sz. PMH'!D30:L30)+SUMIF('2.2. sz. Hétszínvirág Óvoda'!$D$4:$G$4,"államigazgatási",'2.2. sz. Hétszínvirág Óvoda'!D30:G30)+SUMIF('2.3. sz. Mese Óvoda'!$D$4:$I$4,"államigazgatási",'2.3. sz. Mese Óvoda'!D30:I30)+SUMIF('2.4. sz. Bölcsőde'!$D$4:$H$4,"államigazgatási",'2.4. sz. Bölcsőde'!D30:H30)+SUMIF('2.5. sz. Gyermekjóléti'!$D$4:$J$4,"államigazgatási",'2.5. sz. Gyermekjóléti'!D30:J30)+SUMIF('2.6 sz. Területi'!$D$4:$V$4,"államigazgatási",'2.6 sz. Területi'!D30:V30)+SUMIF('2.7. sz. Könyvtár'!$D$4:$K$4,"államigazgatási",'2.7. sz. Könyvtár'!D30:K30)+SUMIF('2.8. sz. Műv.Ház'!$D$4:$J$4,"államigazgatási",'2.8. sz. Műv.Ház'!D30:J30)+SUMIF('2.9. sz. Szivárvány Ó.'!$D$4:$H$4,"államigazgatási",'2.9. sz. Szivárvány Ó.'!D30:H30)</f>
        <v>0</v>
      </c>
      <c r="G30" s="8">
        <f t="shared" si="1"/>
        <v>46090000</v>
      </c>
      <c r="H30" s="166">
        <f>'2.1. sz. PMH'!M30+'2.2. sz. Hétszínvirág Óvoda'!H30+'2.3. sz. Mese Óvoda'!I30+'2.4. sz. Bölcsőde'!I30+'2.5. sz. Gyermekjóléti'!K30+'2.6 sz. Területi'!W30+'2.7. sz. Könyvtár'!K30</f>
        <v>46090000</v>
      </c>
      <c r="I30" s="165">
        <f t="shared" si="0"/>
        <v>0</v>
      </c>
    </row>
    <row r="31" spans="1:9" ht="23.25" customHeight="1">
      <c r="A31" s="49" t="s">
        <v>325</v>
      </c>
      <c r="B31" s="51" t="s">
        <v>278</v>
      </c>
      <c r="C31" s="55" t="s">
        <v>268</v>
      </c>
      <c r="D31" s="8">
        <f>SUMIF('2.1. sz. PMH'!$D$4:$L$4,"kötelező",'2.1. sz. PMH'!D31:L31)+SUMIF('2.2. sz. Hétszínvirág Óvoda'!$D$4:$G$4,"kötelező",'2.2. sz. Hétszínvirág Óvoda'!D31:G31)+SUMIF('2.3. sz. Mese Óvoda'!$D$4:$I$4,"kötelező",'2.3. sz. Mese Óvoda'!D31:I31)+SUMIF('2.4. sz. Bölcsőde'!$D$4:$H$4,"kötelező",'2.4. sz. Bölcsőde'!D31:H31)+SUMIF('2.5. sz. Gyermekjóléti'!$D$4:$J$4,"kötelező",'2.5. sz. Gyermekjóléti'!D31:J31)+SUMIF('2.6 sz. Területi'!$D$4:$V$4,"kötelező",'2.6 sz. Területi'!D31:V31)+SUMIF('2.7. sz. Könyvtár'!$D$4:$K$4,"kötelező",'2.7. sz. Könyvtár'!D31:K31)+SUMIF('2.8. sz. Műv.Ház'!$D$4:$J$4,"kötelező",'2.8. sz. Műv.Ház'!D31:J31)+SUMIF('2.9. sz. Szivárvány Ó.'!$D$4:$H$4,"kötelező",'2.9. sz. Szivárvány Ó.'!D31:H31)</f>
        <v>0</v>
      </c>
      <c r="E31" s="8">
        <f>SUMIF('2.1. sz. PMH'!$D$4:$L$4,"önként vállalt",'2.1. sz. PMH'!D31:L31)+SUMIF('2.2. sz. Hétszínvirág Óvoda'!$D$4:$G$4,"önként vállalt",'2.2. sz. Hétszínvirág Óvoda'!D31:G31)+SUMIF('2.3. sz. Mese Óvoda'!$D$4:$I$4,"önként vállalt",'2.3. sz. Mese Óvoda'!D31:I31)+SUMIF('2.4. sz. Bölcsőde'!$D$4:$H$4,"önként vállalt",'2.4. sz. Bölcsőde'!D31:H31)+SUMIF('2.5. sz. Gyermekjóléti'!$D$4:$J$4,"önként vállalt",'2.5. sz. Gyermekjóléti'!D31:J31)+SUMIF('2.6 sz. Területi'!$D$4:$V$4,"önként vállalt",'2.6 sz. Területi'!D31:V31)+SUMIF('2.7. sz. Könyvtár'!$D$4:$K$4,"önként vállalt",'2.7. sz. Könyvtár'!D31:K31)+SUMIF('2.8. sz. Műv.Ház'!$D$4:$J$4,"önként vállalt",'2.8. sz. Műv.Ház'!D31:J31)+SUMIF('2.9. sz. Szivárvány Ó.'!$D$4:$H$4,"önként vállalt",'2.9. sz. Szivárvány Ó.'!D31:H31)</f>
        <v>0</v>
      </c>
      <c r="F31" s="8">
        <f>SUMIF('2.1. sz. PMH'!$D$4:$L$4,"államigazgatási",'2.1. sz. PMH'!D31:L31)+SUMIF('2.2. sz. Hétszínvirág Óvoda'!$D$4:$G$4,"államigazgatási",'2.2. sz. Hétszínvirág Óvoda'!D31:G31)+SUMIF('2.3. sz. Mese Óvoda'!$D$4:$I$4,"államigazgatási",'2.3. sz. Mese Óvoda'!D31:I31)+SUMIF('2.4. sz. Bölcsőde'!$D$4:$H$4,"államigazgatási",'2.4. sz. Bölcsőde'!D31:H31)+SUMIF('2.5. sz. Gyermekjóléti'!$D$4:$J$4,"államigazgatási",'2.5. sz. Gyermekjóléti'!D31:J31)+SUMIF('2.6 sz. Területi'!$D$4:$V$4,"államigazgatási",'2.6 sz. Területi'!D31:V31)+SUMIF('2.7. sz. Könyvtár'!$D$4:$K$4,"államigazgatási",'2.7. sz. Könyvtár'!D31:K31)+SUMIF('2.8. sz. Műv.Ház'!$D$4:$J$4,"államigazgatási",'2.8. sz. Műv.Ház'!D31:J31)+SUMIF('2.9. sz. Szivárvány Ó.'!$D$4:$H$4,"államigazgatási",'2.9. sz. Szivárvány Ó.'!D31:H31)</f>
        <v>0</v>
      </c>
      <c r="G31" s="8">
        <f t="shared" si="1"/>
        <v>0</v>
      </c>
      <c r="H31" s="166">
        <f>'2.1. sz. PMH'!M31+'2.2. sz. Hétszínvirág Óvoda'!H31+'2.3. sz. Mese Óvoda'!I31+'2.4. sz. Bölcsőde'!I31+'2.5. sz. Gyermekjóléti'!K31+'2.6 sz. Területi'!W31+'2.7. sz. Könyvtár'!K31</f>
        <v>0</v>
      </c>
      <c r="I31" s="165">
        <f t="shared" si="0"/>
        <v>0</v>
      </c>
    </row>
    <row r="32" spans="1:9" ht="23.25" customHeight="1">
      <c r="A32" s="49" t="s">
        <v>326</v>
      </c>
      <c r="B32" s="51" t="s">
        <v>277</v>
      </c>
      <c r="C32" s="55" t="s">
        <v>269</v>
      </c>
      <c r="D32" s="8">
        <f>SUMIF('2.1. sz. PMH'!$D$4:$L$4,"kötelező",'2.1. sz. PMH'!D32:L32)+SUMIF('2.2. sz. Hétszínvirág Óvoda'!$D$4:$G$4,"kötelező",'2.2. sz. Hétszínvirág Óvoda'!D32:G32)+SUMIF('2.3. sz. Mese Óvoda'!$D$4:$I$4,"kötelező",'2.3. sz. Mese Óvoda'!D32:I32)+SUMIF('2.4. sz. Bölcsőde'!$D$4:$H$4,"kötelező",'2.4. sz. Bölcsőde'!D32:H32)+SUMIF('2.5. sz. Gyermekjóléti'!$D$4:$J$4,"kötelező",'2.5. sz. Gyermekjóléti'!D32:J32)+SUMIF('2.6 sz. Területi'!$D$4:$V$4,"kötelező",'2.6 sz. Területi'!D32:V32)+SUMIF('2.7. sz. Könyvtár'!$D$4:$K$4,"kötelező",'2.7. sz. Könyvtár'!D32:K32)+SUMIF('2.8. sz. Műv.Ház'!$D$4:$J$4,"kötelező",'2.8. sz. Műv.Ház'!D32:J32)+SUMIF('2.9. sz. Szivárvány Ó.'!$D$4:$H$4,"kötelező",'2.9. sz. Szivárvány Ó.'!D32:H32)</f>
        <v>0</v>
      </c>
      <c r="E32" s="8">
        <f>SUMIF('2.1. sz. PMH'!$D$4:$L$4,"önként vállalt",'2.1. sz. PMH'!D32:L32)+SUMIF('2.2. sz. Hétszínvirág Óvoda'!$D$4:$G$4,"önként vállalt",'2.2. sz. Hétszínvirág Óvoda'!D32:G32)+SUMIF('2.3. sz. Mese Óvoda'!$D$4:$I$4,"önként vállalt",'2.3. sz. Mese Óvoda'!D32:I32)+SUMIF('2.4. sz. Bölcsőde'!$D$4:$H$4,"önként vállalt",'2.4. sz. Bölcsőde'!D32:H32)+SUMIF('2.5. sz. Gyermekjóléti'!$D$4:$J$4,"önként vállalt",'2.5. sz. Gyermekjóléti'!D32:J32)+SUMIF('2.6 sz. Területi'!$D$4:$V$4,"önként vállalt",'2.6 sz. Területi'!D32:V32)+SUMIF('2.7. sz. Könyvtár'!$D$4:$K$4,"önként vállalt",'2.7. sz. Könyvtár'!D32:K32)+SUMIF('2.8. sz. Műv.Ház'!$D$4:$J$4,"önként vállalt",'2.8. sz. Műv.Ház'!D32:J32)+SUMIF('2.9. sz. Szivárvány Ó.'!$D$4:$H$4,"önként vállalt",'2.9. sz. Szivárvány Ó.'!D32:H32)</f>
        <v>0</v>
      </c>
      <c r="F32" s="8">
        <f>SUMIF('2.1. sz. PMH'!$D$4:$L$4,"államigazgatási",'2.1. sz. PMH'!D32:L32)+SUMIF('2.2. sz. Hétszínvirág Óvoda'!$D$4:$G$4,"államigazgatási",'2.2. sz. Hétszínvirág Óvoda'!D32:G32)+SUMIF('2.3. sz. Mese Óvoda'!$D$4:$I$4,"államigazgatási",'2.3. sz. Mese Óvoda'!D32:I32)+SUMIF('2.4. sz. Bölcsőde'!$D$4:$H$4,"államigazgatási",'2.4. sz. Bölcsőde'!D32:H32)+SUMIF('2.5. sz. Gyermekjóléti'!$D$4:$J$4,"államigazgatási",'2.5. sz. Gyermekjóléti'!D32:J32)+SUMIF('2.6 sz. Területi'!$D$4:$V$4,"államigazgatási",'2.6 sz. Területi'!D32:V32)+SUMIF('2.7. sz. Könyvtár'!$D$4:$K$4,"államigazgatási",'2.7. sz. Könyvtár'!D32:K32)+SUMIF('2.8. sz. Műv.Ház'!$D$4:$J$4,"államigazgatási",'2.8. sz. Műv.Ház'!D32:J32)+SUMIF('2.9. sz. Szivárvány Ó.'!$D$4:$H$4,"államigazgatási",'2.9. sz. Szivárvány Ó.'!D32:H32)</f>
        <v>1262581</v>
      </c>
      <c r="G32" s="8">
        <f t="shared" si="1"/>
        <v>1262581</v>
      </c>
      <c r="H32" s="166">
        <f>'2.1. sz. PMH'!M32+'2.2. sz. Hétszínvirág Óvoda'!H32+'2.3. sz. Mese Óvoda'!I32+'2.4. sz. Bölcsőde'!I32+'2.5. sz. Gyermekjóléti'!K32+'2.6 sz. Területi'!W32+'2.7. sz. Könyvtár'!K32</f>
        <v>1262581</v>
      </c>
      <c r="I32" s="165">
        <f t="shared" si="0"/>
        <v>0</v>
      </c>
    </row>
    <row r="33" spans="1:9" ht="23.25" customHeight="1">
      <c r="A33" s="49" t="s">
        <v>327</v>
      </c>
      <c r="B33" s="52" t="s">
        <v>0</v>
      </c>
      <c r="C33" s="55" t="s">
        <v>270</v>
      </c>
      <c r="D33" s="8">
        <f>SUMIF('2.1. sz. PMH'!$D$4:$L$4,"kötelező",'2.1. sz. PMH'!D33:L33)+SUMIF('2.2. sz. Hétszínvirág Óvoda'!$D$4:$G$4,"kötelező",'2.2. sz. Hétszínvirág Óvoda'!D33:G33)+SUMIF('2.3. sz. Mese Óvoda'!$D$4:$I$4,"kötelező",'2.3. sz. Mese Óvoda'!D33:I33)+SUMIF('2.4. sz. Bölcsőde'!$D$4:$H$4,"kötelező",'2.4. sz. Bölcsőde'!D33:H33)+SUMIF('2.5. sz. Gyermekjóléti'!$D$4:$J$4,"kötelező",'2.5. sz. Gyermekjóléti'!D33:J33)+SUMIF('2.6 sz. Területi'!$D$4:$V$4,"kötelező",'2.6 sz. Területi'!D33:V33)+SUMIF('2.7. sz. Könyvtár'!$D$4:$K$4,"kötelező",'2.7. sz. Könyvtár'!D33:K33)+SUMIF('2.8. sz. Műv.Ház'!$D$4:$J$4,"kötelező",'2.8. sz. Műv.Ház'!D33:J33)+SUMIF('2.9. sz. Szivárvány Ó.'!$D$4:$H$4,"kötelező",'2.9. sz. Szivárvány Ó.'!D33:H33)</f>
        <v>192029140</v>
      </c>
      <c r="E33" s="8">
        <f>SUMIF('2.1. sz. PMH'!$D$4:$L$4,"önként vállalt",'2.1. sz. PMH'!D33:L33)+SUMIF('2.2. sz. Hétszínvirág Óvoda'!$D$4:$G$4,"önként vállalt",'2.2. sz. Hétszínvirág Óvoda'!D33:G33)+SUMIF('2.3. sz. Mese Óvoda'!$D$4:$I$4,"önként vállalt",'2.3. sz. Mese Óvoda'!D33:I33)+SUMIF('2.4. sz. Bölcsőde'!$D$4:$H$4,"önként vállalt",'2.4. sz. Bölcsőde'!D33:H33)+SUMIF('2.5. sz. Gyermekjóléti'!$D$4:$J$4,"önként vállalt",'2.5. sz. Gyermekjóléti'!D33:J33)+SUMIF('2.6 sz. Területi'!$D$4:$V$4,"önként vállalt",'2.6 sz. Területi'!D33:V33)+SUMIF('2.7. sz. Könyvtár'!$D$4:$K$4,"önként vállalt",'2.7. sz. Könyvtár'!D33:K33)+SUMIF('2.8. sz. Műv.Ház'!$D$4:$J$4,"önként vállalt",'2.8. sz. Műv.Ház'!D33:J33)+SUMIF('2.9. sz. Szivárvány Ó.'!$D$4:$H$4,"önként vállalt",'2.9. sz. Szivárvány Ó.'!D33:H33)</f>
        <v>3320000</v>
      </c>
      <c r="F33" s="8">
        <f>SUMIF('2.1. sz. PMH'!$D$4:$L$4,"államigazgatási",'2.1. sz. PMH'!D33:L33)+SUMIF('2.2. sz. Hétszínvirág Óvoda'!$D$4:$G$4,"államigazgatási",'2.2. sz. Hétszínvirág Óvoda'!D33:G33)+SUMIF('2.3. sz. Mese Óvoda'!$D$4:$I$4,"államigazgatási",'2.3. sz. Mese Óvoda'!D33:I33)+SUMIF('2.4. sz. Bölcsőde'!$D$4:$H$4,"államigazgatási",'2.4. sz. Bölcsőde'!D33:H33)+SUMIF('2.5. sz. Gyermekjóléti'!$D$4:$J$4,"államigazgatási",'2.5. sz. Gyermekjóléti'!D33:J33)+SUMIF('2.6 sz. Területi'!$D$4:$V$4,"államigazgatási",'2.6 sz. Területi'!D33:V33)+SUMIF('2.7. sz. Könyvtár'!$D$4:$K$4,"államigazgatási",'2.7. sz. Könyvtár'!D33:K33)+SUMIF('2.8. sz. Műv.Ház'!$D$4:$J$4,"államigazgatási",'2.8. sz. Műv.Ház'!D33:J33)+SUMIF('2.9. sz. Szivárvány Ó.'!$D$4:$H$4,"államigazgatási",'2.9. sz. Szivárvány Ó.'!D33:H33)</f>
        <v>1245387</v>
      </c>
      <c r="G33" s="8">
        <f t="shared" si="1"/>
        <v>196594527</v>
      </c>
      <c r="H33" s="166">
        <f>'2.1. sz. PMH'!M33+'2.2. sz. Hétszínvirág Óvoda'!H33+'2.3. sz. Mese Óvoda'!I33+'2.4. sz. Bölcsőde'!I33+'2.5. sz. Gyermekjóléti'!K33+'2.6 sz. Területi'!W33+'2.7. sz. Könyvtár'!K33</f>
        <v>188615027</v>
      </c>
      <c r="I33" s="165">
        <f t="shared" si="0"/>
        <v>-7979500</v>
      </c>
    </row>
    <row r="34" spans="1:9" ht="23.25" customHeight="1">
      <c r="A34" s="49" t="s">
        <v>328</v>
      </c>
      <c r="B34" s="51" t="s">
        <v>300</v>
      </c>
      <c r="C34" s="55" t="s">
        <v>271</v>
      </c>
      <c r="D34" s="8">
        <f>SUMIF('2.1. sz. PMH'!$D$4:$L$4,"kötelező",'2.1. sz. PMH'!D34:L34)+SUMIF('2.2. sz. Hétszínvirág Óvoda'!$D$4:$G$4,"kötelező",'2.2. sz. Hétszínvirág Óvoda'!D34:G34)+SUMIF('2.3. sz. Mese Óvoda'!$D$4:$I$4,"kötelező",'2.3. sz. Mese Óvoda'!D34:I34)+SUMIF('2.4. sz. Bölcsőde'!$D$4:$H$4,"kötelező",'2.4. sz. Bölcsőde'!D34:H34)+SUMIF('2.5. sz. Gyermekjóléti'!$D$4:$J$4,"kötelező",'2.5. sz. Gyermekjóléti'!D34:J34)+SUMIF('2.6 sz. Területi'!$D$4:$V$4,"kötelező",'2.6 sz. Területi'!D34:V34)+SUMIF('2.7. sz. Könyvtár'!$D$4:$K$4,"kötelező",'2.7. sz. Könyvtár'!D34:K34)+SUMIF('2.8. sz. Műv.Ház'!$D$4:$J$4,"kötelező",'2.8. sz. Műv.Ház'!D34:J34)+SUMIF('2.9. sz. Szivárvány Ó.'!$D$4:$H$4,"kötelező",'2.9. sz. Szivárvány Ó.'!D34:H34)</f>
        <v>0</v>
      </c>
      <c r="E34" s="8">
        <f>SUMIF('2.1. sz. PMH'!$D$4:$L$4,"önként vállalt",'2.1. sz. PMH'!D34:L34)+SUMIF('2.2. sz. Hétszínvirág Óvoda'!$D$4:$G$4,"önként vállalt",'2.2. sz. Hétszínvirág Óvoda'!D34:G34)+SUMIF('2.3. sz. Mese Óvoda'!$D$4:$I$4,"önként vállalt",'2.3. sz. Mese Óvoda'!D34:I34)+SUMIF('2.4. sz. Bölcsőde'!$D$4:$H$4,"önként vállalt",'2.4. sz. Bölcsőde'!D34:H34)+SUMIF('2.5. sz. Gyermekjóléti'!$D$4:$J$4,"önként vállalt",'2.5. sz. Gyermekjóléti'!D34:J34)+SUMIF('2.6 sz. Területi'!$D$4:$V$4,"önként vállalt",'2.6 sz. Területi'!D34:V34)+SUMIF('2.7. sz. Könyvtár'!$D$4:$K$4,"önként vállalt",'2.7. sz. Könyvtár'!D34:K34)+SUMIF('2.8. sz. Műv.Ház'!$D$4:$J$4,"önként vállalt",'2.8. sz. Műv.Ház'!D34:J34)+SUMIF('2.9. sz. Szivárvány Ó.'!$D$4:$H$4,"önként vállalt",'2.9. sz. Szivárvány Ó.'!D34:H34)</f>
        <v>0</v>
      </c>
      <c r="F34" s="8">
        <f>SUMIF('2.1. sz. PMH'!$D$4:$L$4,"államigazgatási",'2.1. sz. PMH'!D34:L34)+SUMIF('2.2. sz. Hétszínvirág Óvoda'!$D$4:$G$4,"államigazgatási",'2.2. sz. Hétszínvirág Óvoda'!D34:G34)+SUMIF('2.3. sz. Mese Óvoda'!$D$4:$I$4,"államigazgatási",'2.3. sz. Mese Óvoda'!D34:I34)+SUMIF('2.4. sz. Bölcsőde'!$D$4:$H$4,"államigazgatási",'2.4. sz. Bölcsőde'!D34:H34)+SUMIF('2.5. sz. Gyermekjóléti'!$D$4:$J$4,"államigazgatási",'2.5. sz. Gyermekjóléti'!D34:J34)+SUMIF('2.6 sz. Területi'!$D$4:$V$4,"államigazgatási",'2.6 sz. Területi'!D34:V34)+SUMIF('2.7. sz. Könyvtár'!$D$4:$K$4,"államigazgatási",'2.7. sz. Könyvtár'!D34:K34)+SUMIF('2.8. sz. Műv.Ház'!$D$4:$J$4,"államigazgatási",'2.8. sz. Műv.Ház'!D34:J34)+SUMIF('2.9. sz. Szivárvány Ó.'!$D$4:$H$4,"államigazgatási",'2.9. sz. Szivárvány Ó.'!D34:H34)</f>
        <v>0</v>
      </c>
      <c r="G34" s="8">
        <f t="shared" si="1"/>
        <v>0</v>
      </c>
      <c r="H34" s="166">
        <f>'2.1. sz. PMH'!M34+'2.2. sz. Hétszínvirág Óvoda'!H34+'2.3. sz. Mese Óvoda'!I34+'2.4. sz. Bölcsőde'!I34+'2.5. sz. Gyermekjóléti'!K34+'2.6 sz. Területi'!W34+'2.7. sz. Könyvtár'!K34</f>
        <v>0</v>
      </c>
      <c r="I34" s="165">
        <f t="shared" si="0"/>
        <v>0</v>
      </c>
    </row>
    <row r="35" spans="1:9" ht="23.25" customHeight="1">
      <c r="A35" s="49" t="s">
        <v>329</v>
      </c>
      <c r="B35" s="51" t="s">
        <v>295</v>
      </c>
      <c r="C35" s="55" t="s">
        <v>272</v>
      </c>
      <c r="D35" s="8">
        <f>SUMIF('2.1. sz. PMH'!$D$4:$L$4,"kötelező",'2.1. sz. PMH'!D35:L35)+SUMIF('2.2. sz. Hétszínvirág Óvoda'!$D$4:$G$4,"kötelező",'2.2. sz. Hétszínvirág Óvoda'!D35:G35)+SUMIF('2.3. sz. Mese Óvoda'!$D$4:$I$4,"kötelező",'2.3. sz. Mese Óvoda'!D35:I35)+SUMIF('2.4. sz. Bölcsőde'!$D$4:$H$4,"kötelező",'2.4. sz. Bölcsőde'!D35:H35)+SUMIF('2.5. sz. Gyermekjóléti'!$D$4:$J$4,"kötelező",'2.5. sz. Gyermekjóléti'!D35:J35)+SUMIF('2.6 sz. Területi'!$D$4:$V$4,"kötelező",'2.6 sz. Területi'!D35:V35)+SUMIF('2.7. sz. Könyvtár'!$D$4:$K$4,"kötelező",'2.7. sz. Könyvtár'!D35:K35)+SUMIF('2.8. sz. Műv.Ház'!$D$4:$J$4,"kötelező",'2.8. sz. Műv.Ház'!D35:J35)+SUMIF('2.9. sz. Szivárvány Ó.'!$D$4:$H$4,"kötelező",'2.9. sz. Szivárvány Ó.'!D35:H35)</f>
        <v>0</v>
      </c>
      <c r="E35" s="8">
        <f>SUMIF('2.1. sz. PMH'!$D$4:$L$4,"önként vállalt",'2.1. sz. PMH'!D35:L35)+SUMIF('2.2. sz. Hétszínvirág Óvoda'!$D$4:$G$4,"önként vállalt",'2.2. sz. Hétszínvirág Óvoda'!D35:G35)+SUMIF('2.3. sz. Mese Óvoda'!$D$4:$I$4,"önként vállalt",'2.3. sz. Mese Óvoda'!D35:I35)+SUMIF('2.4. sz. Bölcsőde'!$D$4:$H$4,"önként vállalt",'2.4. sz. Bölcsőde'!D35:H35)+SUMIF('2.5. sz. Gyermekjóléti'!$D$4:$J$4,"önként vállalt",'2.5. sz. Gyermekjóléti'!D35:J35)+SUMIF('2.6 sz. Területi'!$D$4:$V$4,"önként vállalt",'2.6 sz. Területi'!D35:V35)+SUMIF('2.7. sz. Könyvtár'!$D$4:$K$4,"önként vállalt",'2.7. sz. Könyvtár'!D35:K35)+SUMIF('2.8. sz. Műv.Ház'!$D$4:$J$4,"önként vállalt",'2.8. sz. Műv.Ház'!D35:J35)+SUMIF('2.9. sz. Szivárvány Ó.'!$D$4:$H$4,"önként vállalt",'2.9. sz. Szivárvány Ó.'!D35:H35)</f>
        <v>0</v>
      </c>
      <c r="F35" s="8">
        <f>SUMIF('2.1. sz. PMH'!$D$4:$L$4,"államigazgatási",'2.1. sz. PMH'!D35:L35)+SUMIF('2.2. sz. Hétszínvirág Óvoda'!$D$4:$G$4,"államigazgatási",'2.2. sz. Hétszínvirág Óvoda'!D35:G35)+SUMIF('2.3. sz. Mese Óvoda'!$D$4:$I$4,"államigazgatási",'2.3. sz. Mese Óvoda'!D35:I35)+SUMIF('2.4. sz. Bölcsőde'!$D$4:$H$4,"államigazgatási",'2.4. sz. Bölcsőde'!D35:H35)+SUMIF('2.5. sz. Gyermekjóléti'!$D$4:$J$4,"államigazgatási",'2.5. sz. Gyermekjóléti'!D35:J35)+SUMIF('2.6 sz. Területi'!$D$4:$V$4,"államigazgatási",'2.6 sz. Területi'!D35:V35)+SUMIF('2.7. sz. Könyvtár'!$D$4:$K$4,"államigazgatási",'2.7. sz. Könyvtár'!D35:K35)+SUMIF('2.8. sz. Műv.Ház'!$D$4:$J$4,"államigazgatási",'2.8. sz. Műv.Ház'!D35:J35)+SUMIF('2.9. sz. Szivárvány Ó.'!$D$4:$H$4,"államigazgatási",'2.9. sz. Szivárvány Ó.'!D35:H35)</f>
        <v>0</v>
      </c>
      <c r="G35" s="8">
        <f t="shared" si="1"/>
        <v>0</v>
      </c>
      <c r="H35" s="166">
        <f>'2.1. sz. PMH'!M35+'2.2. sz. Hétszínvirág Óvoda'!H35+'2.3. sz. Mese Óvoda'!I35+'2.4. sz. Bölcsőde'!I35+'2.5. sz. Gyermekjóléti'!K35+'2.6 sz. Területi'!W35+'2.7. sz. Könyvtár'!K35</f>
        <v>0</v>
      </c>
      <c r="I35" s="165">
        <f t="shared" si="0"/>
        <v>0</v>
      </c>
    </row>
    <row r="36" spans="1:9" ht="23.25" customHeight="1">
      <c r="A36" s="49" t="s">
        <v>330</v>
      </c>
      <c r="B36" s="51" t="s">
        <v>296</v>
      </c>
      <c r="C36" s="55" t="s">
        <v>273</v>
      </c>
      <c r="D36" s="8">
        <f>SUMIF('2.1. sz. PMH'!$D$4:$L$4,"kötelező",'2.1. sz. PMH'!D36:L36)+SUMIF('2.2. sz. Hétszínvirág Óvoda'!$D$4:$G$4,"kötelező",'2.2. sz. Hétszínvirág Óvoda'!D36:G36)+SUMIF('2.3. sz. Mese Óvoda'!$D$4:$I$4,"kötelező",'2.3. sz. Mese Óvoda'!D36:I36)+SUMIF('2.4. sz. Bölcsőde'!$D$4:$H$4,"kötelező",'2.4. sz. Bölcsőde'!D36:H36)+SUMIF('2.5. sz. Gyermekjóléti'!$D$4:$J$4,"kötelező",'2.5. sz. Gyermekjóléti'!D36:J36)+SUMIF('2.6 sz. Területi'!$D$4:$V$4,"kötelező",'2.6 sz. Területi'!D36:V36)+SUMIF('2.7. sz. Könyvtár'!$D$4:$K$4,"kötelező",'2.7. sz. Könyvtár'!D36:K36)+SUMIF('2.8. sz. Műv.Ház'!$D$4:$J$4,"kötelező",'2.8. sz. Műv.Ház'!D36:J36)+SUMIF('2.9. sz. Szivárvány Ó.'!$D$4:$H$4,"kötelező",'2.9. sz. Szivárvány Ó.'!D36:H36)</f>
        <v>4531600</v>
      </c>
      <c r="E36" s="8">
        <f>SUMIF('2.1. sz. PMH'!$D$4:$L$4,"önként vállalt",'2.1. sz. PMH'!D36:L36)+SUMIF('2.2. sz. Hétszínvirág Óvoda'!$D$4:$G$4,"önként vállalt",'2.2. sz. Hétszínvirág Óvoda'!D36:G36)+SUMIF('2.3. sz. Mese Óvoda'!$D$4:$I$4,"önként vállalt",'2.3. sz. Mese Óvoda'!D36:I36)+SUMIF('2.4. sz. Bölcsőde'!$D$4:$H$4,"önként vállalt",'2.4. sz. Bölcsőde'!D36:H36)+SUMIF('2.5. sz. Gyermekjóléti'!$D$4:$J$4,"önként vállalt",'2.5. sz. Gyermekjóléti'!D36:J36)+SUMIF('2.6 sz. Területi'!$D$4:$V$4,"önként vállalt",'2.6 sz. Területi'!D36:V36)+SUMIF('2.7. sz. Könyvtár'!$D$4:$K$4,"önként vállalt",'2.7. sz. Könyvtár'!D36:K36)+SUMIF('2.8. sz. Műv.Ház'!$D$4:$J$4,"önként vállalt",'2.8. sz. Műv.Ház'!D36:J36)+SUMIF('2.9. sz. Szivárvány Ó.'!$D$4:$H$4,"önként vállalt",'2.9. sz. Szivárvány Ó.'!D36:H36)</f>
        <v>0</v>
      </c>
      <c r="F36" s="8">
        <f>SUMIF('2.1. sz. PMH'!$D$4:$L$4,"államigazgatási",'2.1. sz. PMH'!D36:L36)+SUMIF('2.2. sz. Hétszínvirág Óvoda'!$D$4:$G$4,"államigazgatási",'2.2. sz. Hétszínvirág Óvoda'!D36:G36)+SUMIF('2.3. sz. Mese Óvoda'!$D$4:$I$4,"államigazgatási",'2.3. sz. Mese Óvoda'!D36:I36)+SUMIF('2.4. sz. Bölcsőde'!$D$4:$H$4,"államigazgatási",'2.4. sz. Bölcsőde'!D36:H36)+SUMIF('2.5. sz. Gyermekjóléti'!$D$4:$J$4,"államigazgatási",'2.5. sz. Gyermekjóléti'!D36:J36)+SUMIF('2.6 sz. Területi'!$D$4:$V$4,"államigazgatási",'2.6 sz. Területi'!D36:V36)+SUMIF('2.7. sz. Könyvtár'!$D$4:$K$4,"államigazgatási",'2.7. sz. Könyvtár'!D36:K36)+SUMIF('2.8. sz. Műv.Ház'!$D$4:$J$4,"államigazgatási",'2.8. sz. Műv.Ház'!D36:J36)+SUMIF('2.9. sz. Szivárvány Ó.'!$D$4:$H$4,"államigazgatási",'2.9. sz. Szivárvány Ó.'!D36:H36)</f>
        <v>13300</v>
      </c>
      <c r="G36" s="8">
        <f t="shared" si="1"/>
        <v>4544900</v>
      </c>
      <c r="H36" s="166">
        <f>'2.1. sz. PMH'!M36+'2.2. sz. Hétszínvirág Óvoda'!H36+'2.3. sz. Mese Óvoda'!I36+'2.4. sz. Bölcsőde'!I36+'2.5. sz. Gyermekjóléti'!K36+'2.6 sz. Területi'!W36+'2.7. sz. Könyvtár'!K36</f>
        <v>4544900</v>
      </c>
      <c r="I36" s="165">
        <f t="shared" si="0"/>
        <v>0</v>
      </c>
    </row>
    <row r="37" spans="1:9" ht="23.25" customHeight="1">
      <c r="A37" s="49" t="s">
        <v>331</v>
      </c>
      <c r="B37" s="52" t="s">
        <v>297</v>
      </c>
      <c r="C37" s="55" t="s">
        <v>274</v>
      </c>
      <c r="D37" s="9">
        <f>SUMIF('2.1. sz. PMH'!$D$4:$L$4,"kötelező",'2.1. sz. PMH'!D37:L37)+SUMIF('2.2. sz. Hétszínvirág Óvoda'!$D$4:$G$4,"kötelező",'2.2. sz. Hétszínvirág Óvoda'!D37:G37)+SUMIF('2.3. sz. Mese Óvoda'!$D$4:$I$4,"kötelező",'2.3. sz. Mese Óvoda'!D37:I37)+SUMIF('2.4. sz. Bölcsőde'!$D$4:$H$4,"kötelező",'2.4. sz. Bölcsőde'!D37:H37)+SUMIF('2.5. sz. Gyermekjóléti'!$D$4:$J$4,"kötelező",'2.5. sz. Gyermekjóléti'!D37:J37)+SUMIF('2.6 sz. Területi'!$D$4:$V$4,"kötelező",'2.6 sz. Területi'!D37:V37)+SUMIF('2.7. sz. Könyvtár'!$D$4:$K$4,"kötelező",'2.7. sz. Könyvtár'!D37:K37)+SUMIF('2.8. sz. Műv.Ház'!$D$4:$J$4,"kötelező",'2.8. sz. Műv.Ház'!D37:J37)+SUMIF('2.9. sz. Szivárvány Ó.'!$D$4:$H$4,"kötelező",'2.9. sz. Szivárvány Ó.'!D37:H37)</f>
        <v>242650740</v>
      </c>
      <c r="E37" s="9">
        <f>SUMIF('2.1. sz. PMH'!$D$4:$L$4,"önként vállalt",'2.1. sz. PMH'!D37:L37)+SUMIF('2.2. sz. Hétszínvirág Óvoda'!$D$4:$G$4,"önként vállalt",'2.2. sz. Hétszínvirág Óvoda'!D37:G37)+SUMIF('2.3. sz. Mese Óvoda'!$D$4:$I$4,"önként vállalt",'2.3. sz. Mese Óvoda'!D37:I37)+SUMIF('2.4. sz. Bölcsőde'!$D$4:$H$4,"önként vállalt",'2.4. sz. Bölcsőde'!D37:H37)+SUMIF('2.5. sz. Gyermekjóléti'!$D$4:$J$4,"önként vállalt",'2.5. sz. Gyermekjóléti'!D37:J37)+SUMIF('2.6 sz. Területi'!$D$4:$V$4,"önként vállalt",'2.6 sz. Területi'!D37:V37)+SUMIF('2.7. sz. Könyvtár'!$D$4:$K$4,"önként vállalt",'2.7. sz. Könyvtár'!D37:K37)+SUMIF('2.8. sz. Műv.Ház'!$D$4:$J$4,"önként vállalt",'2.8. sz. Műv.Ház'!D37:J37)+SUMIF('2.9. sz. Szivárvány Ó.'!$D$4:$H$4,"önként vállalt",'2.9. sz. Szivárvány Ó.'!D37:H37)</f>
        <v>3320000</v>
      </c>
      <c r="F37" s="9">
        <f>SUMIF('2.1. sz. PMH'!$D$4:$L$4,"államigazgatási",'2.1. sz. PMH'!D37:L37)+SUMIF('2.2. sz. Hétszínvirág Óvoda'!$D$4:$G$4,"államigazgatási",'2.2. sz. Hétszínvirág Óvoda'!D37:G37)+SUMIF('2.3. sz. Mese Óvoda'!$D$4:$I$4,"államigazgatási",'2.3. sz. Mese Óvoda'!D37:I37)+SUMIF('2.4. sz. Bölcsőde'!$D$4:$H$4,"államigazgatási",'2.4. sz. Bölcsőde'!D37:H37)+SUMIF('2.5. sz. Gyermekjóléti'!$D$4:$J$4,"államigazgatási",'2.5. sz. Gyermekjóléti'!D37:J37)+SUMIF('2.6 sz. Területi'!$D$4:$V$4,"államigazgatási",'2.6 sz. Területi'!D37:V37)+SUMIF('2.7. sz. Könyvtár'!$D$4:$K$4,"államigazgatási",'2.7. sz. Könyvtár'!D37:K37)+SUMIF('2.8. sz. Műv.Ház'!$D$4:$J$4,"államigazgatási",'2.8. sz. Műv.Ház'!D37:J37)+SUMIF('2.9. sz. Szivárvány Ó.'!$D$4:$H$4,"államigazgatási",'2.9. sz. Szivárvány Ó.'!D37:H37)</f>
        <v>2521268</v>
      </c>
      <c r="G37" s="9">
        <f t="shared" si="1"/>
        <v>248492008</v>
      </c>
      <c r="H37" s="166">
        <f>'2.1. sz. PMH'!M37+'2.2. sz. Hétszínvirág Óvoda'!H37+'2.3. sz. Mese Óvoda'!I37+'2.4. sz. Bölcsőde'!I37+'2.5. sz. Gyermekjóléti'!K37+'2.6 sz. Területi'!W37+'2.7. sz. Könyvtár'!K37</f>
        <v>240512508</v>
      </c>
      <c r="I37" s="165">
        <f t="shared" si="0"/>
        <v>-7979500</v>
      </c>
    </row>
    <row r="38" spans="1:9" ht="23.25" customHeight="1">
      <c r="A38" s="49" t="s">
        <v>332</v>
      </c>
      <c r="B38" s="55" t="s">
        <v>298</v>
      </c>
      <c r="C38" s="50" t="s">
        <v>276</v>
      </c>
      <c r="D38" s="8">
        <f>SUMIF('2.1. sz. PMH'!$D$4:$L$4,"kötelező",'2.1. sz. PMH'!D38:L38)+SUMIF('2.2. sz. Hétszínvirág Óvoda'!$D$4:$G$4,"kötelező",'2.2. sz. Hétszínvirág Óvoda'!D38:G38)+SUMIF('2.3. sz. Mese Óvoda'!$D$4:$I$4,"kötelező",'2.3. sz. Mese Óvoda'!D38:I38)+SUMIF('2.4. sz. Bölcsőde'!$D$4:$H$4,"kötelező",'2.4. sz. Bölcsőde'!D38:H38)+SUMIF('2.5. sz. Gyermekjóléti'!$D$4:$J$4,"kötelező",'2.5. sz. Gyermekjóléti'!D38:J38)+SUMIF('2.6 sz. Területi'!$D$4:$V$4,"kötelező",'2.6 sz. Területi'!D38:V38)+SUMIF('2.7. sz. Könyvtár'!$D$4:$K$4,"kötelező",'2.7. sz. Könyvtár'!D38:K38)+SUMIF('2.8. sz. Műv.Ház'!$D$4:$J$4,"kötelező",'2.8. sz. Műv.Ház'!D38:J38)+SUMIF('2.9. sz. Szivárvány Ó.'!$D$4:$H$4,"kötelező",'2.9. sz. Szivárvány Ó.'!D38:H38)</f>
        <v>2380331211</v>
      </c>
      <c r="E38" s="8">
        <f>SUMIF('2.1. sz. PMH'!$D$4:$L$4,"önként vállalt",'2.1. sz. PMH'!D38:L38)+SUMIF('2.2. sz. Hétszínvirág Óvoda'!$D$4:$G$4,"önként vállalt",'2.2. sz. Hétszínvirág Óvoda'!D38:G38)+SUMIF('2.3. sz. Mese Óvoda'!$D$4:$I$4,"önként vállalt",'2.3. sz. Mese Óvoda'!D38:I38)+SUMIF('2.4. sz. Bölcsőde'!$D$4:$H$4,"önként vállalt",'2.4. sz. Bölcsőde'!D38:H38)+SUMIF('2.5. sz. Gyermekjóléti'!$D$4:$J$4,"önként vállalt",'2.5. sz. Gyermekjóléti'!D38:J38)+SUMIF('2.6 sz. Területi'!$D$4:$V$4,"önként vállalt",'2.6 sz. Területi'!D38:V38)+SUMIF('2.7. sz. Könyvtár'!$D$4:$K$4,"önként vállalt",'2.7. sz. Könyvtár'!D38:K38)+SUMIF('2.8. sz. Műv.Ház'!$D$4:$J$4,"önként vállalt",'2.8. sz. Műv.Ház'!D38:J38)+SUMIF('2.9. sz. Szivárvány Ó.'!$D$4:$H$4,"önként vállalt",'2.9. sz. Szivárvány Ó.'!D38:H38)</f>
        <v>0</v>
      </c>
      <c r="F38" s="8">
        <f>SUMIF('2.1. sz. PMH'!$D$4:$L$4,"államigazgatási",'2.1. sz. PMH'!D38:L38)+SUMIF('2.2. sz. Hétszínvirág Óvoda'!$D$4:$G$4,"államigazgatási",'2.2. sz. Hétszínvirág Óvoda'!D38:G38)+SUMIF('2.3. sz. Mese Óvoda'!$D$4:$I$4,"államigazgatási",'2.3. sz. Mese Óvoda'!D38:I38)+SUMIF('2.4. sz. Bölcsőde'!$D$4:$H$4,"államigazgatási",'2.4. sz. Bölcsőde'!D38:H38)+SUMIF('2.5. sz. Gyermekjóléti'!$D$4:$J$4,"államigazgatási",'2.5. sz. Gyermekjóléti'!D38:J38)+SUMIF('2.6 sz. Területi'!$D$4:$V$4,"államigazgatási",'2.6 sz. Területi'!D38:V38)+SUMIF('2.7. sz. Könyvtár'!$D$4:$K$4,"államigazgatási",'2.7. sz. Könyvtár'!D38:K38)+SUMIF('2.8. sz. Műv.Ház'!$D$4:$J$4,"államigazgatási",'2.8. sz. Műv.Ház'!D38:J38)+SUMIF('2.9. sz. Szivárvány Ó.'!$D$4:$H$4,"államigazgatási",'2.9. sz. Szivárvány Ó.'!D38:H38)</f>
        <v>0</v>
      </c>
      <c r="G38" s="8">
        <f t="shared" si="1"/>
        <v>2380331211</v>
      </c>
      <c r="H38" s="166">
        <f>'2.1. sz. PMH'!M38+'2.2. sz. Hétszínvirág Óvoda'!H38+'2.3. sz. Mese Óvoda'!I38+'2.4. sz. Bölcsőde'!I38+'2.5. sz. Gyermekjóléti'!K38+'2.6 sz. Területi'!W38+'2.7. sz. Könyvtár'!K38</f>
        <v>2085807990</v>
      </c>
      <c r="I38" s="165">
        <f t="shared" si="0"/>
        <v>-294523221</v>
      </c>
    </row>
    <row r="39" spans="1:9" ht="23.25" customHeight="1">
      <c r="A39" s="49" t="s">
        <v>333</v>
      </c>
      <c r="B39" s="177" t="s">
        <v>754</v>
      </c>
      <c r="C39" s="50"/>
      <c r="D39" s="8">
        <f>SUMIF('2.1. sz. PMH'!$D$4:$L$4,"kötelező",'2.1. sz. PMH'!D39:L39)+SUMIF('2.2. sz. Hétszínvirág Óvoda'!$D$4:$G$4,"kötelező",'2.2. sz. Hétszínvirág Óvoda'!D39:G39)+SUMIF('2.3. sz. Mese Óvoda'!$D$4:$I$4,"kötelező",'2.3. sz. Mese Óvoda'!D39:I39)+SUMIF('2.4. sz. Bölcsőde'!$D$4:$H$4,"kötelező",'2.4. sz. Bölcsőde'!D39:H39)+SUMIF('2.5. sz. Gyermekjóléti'!$D$4:$J$4,"kötelező",'2.5. sz. Gyermekjóléti'!D39:J39)+SUMIF('2.6 sz. Területi'!$D$4:$V$4,"kötelező",'2.6 sz. Területi'!D39:V39)+SUMIF('2.7. sz. Könyvtár'!$D$4:$K$4,"kötelező",'2.7. sz. Könyvtár'!D39:K39)+SUMIF('2.8. sz. Műv.Ház'!$D$4:$J$4,"kötelező",'2.8. sz. Műv.Ház'!D39:J39)+SUMIF('2.9. sz. Szivárvány Ó.'!$D$4:$H$4,"kötelező",'2.9. sz. Szivárvány Ó.'!D39:H39)</f>
        <v>0</v>
      </c>
      <c r="E39" s="8">
        <f>SUMIF('2.1. sz. PMH'!$D$4:$L$4,"önként vállalt",'2.1. sz. PMH'!D39:L39)+SUMIF('2.2. sz. Hétszínvirág Óvoda'!$D$4:$G$4,"önként vállalt",'2.2. sz. Hétszínvirág Óvoda'!D39:G39)+SUMIF('2.3. sz. Mese Óvoda'!$D$4:$I$4,"önként vállalt",'2.3. sz. Mese Óvoda'!D39:I39)+SUMIF('2.4. sz. Bölcsőde'!$D$4:$H$4,"önként vállalt",'2.4. sz. Bölcsőde'!D39:H39)+SUMIF('2.5. sz. Gyermekjóléti'!$D$4:$J$4,"önként vállalt",'2.5. sz. Gyermekjóléti'!D39:J39)+SUMIF('2.6 sz. Területi'!$D$4:$V$4,"önként vállalt",'2.6 sz. Területi'!D39:V39)+SUMIF('2.7. sz. Könyvtár'!$D$4:$K$4,"önként vállalt",'2.7. sz. Könyvtár'!D39:K39)+SUMIF('2.8. sz. Műv.Ház'!$D$4:$J$4,"önként vállalt",'2.8. sz. Műv.Ház'!D39:J39)+SUMIF('2.9. sz. Szivárvány Ó.'!$D$4:$H$4,"önként vállalt",'2.9. sz. Szivárvány Ó.'!D39:H39)</f>
        <v>0</v>
      </c>
      <c r="F39" s="8">
        <f>SUMIF('2.1. sz. PMH'!$D$4:$L$4,"államigazgatási",'2.1. sz. PMH'!D39:L39)+SUMIF('2.2. sz. Hétszínvirág Óvoda'!$D$4:$G$4,"államigazgatási",'2.2. sz. Hétszínvirág Óvoda'!D39:G39)+SUMIF('2.3. sz. Mese Óvoda'!$D$4:$I$4,"államigazgatási",'2.3. sz. Mese Óvoda'!D39:I39)+SUMIF('2.4. sz. Bölcsőde'!$D$4:$H$4,"államigazgatási",'2.4. sz. Bölcsőde'!D39:H39)+SUMIF('2.5. sz. Gyermekjóléti'!$D$4:$J$4,"államigazgatási",'2.5. sz. Gyermekjóléti'!D39:J39)+SUMIF('2.6 sz. Területi'!$D$4:$V$4,"államigazgatási",'2.6 sz. Területi'!D39:V39)+SUMIF('2.7. sz. Könyvtár'!$D$4:$K$4,"államigazgatási",'2.7. sz. Könyvtár'!D39:K39)+SUMIF('2.8. sz. Műv.Ház'!$D$4:$J$4,"államigazgatási",'2.8. sz. Műv.Ház'!D39:J39)+SUMIF('2.9. sz. Szivárvány Ó.'!$D$4:$H$4,"államigazgatási",'2.9. sz. Szivárvány Ó.'!D39:H39)</f>
        <v>0</v>
      </c>
      <c r="G39" s="8">
        <f t="shared" si="1"/>
        <v>0</v>
      </c>
      <c r="H39" s="166"/>
      <c r="I39" s="165"/>
    </row>
    <row r="40" spans="1:9" ht="23.25" customHeight="1">
      <c r="A40" s="49" t="s">
        <v>334</v>
      </c>
      <c r="B40" s="56" t="s">
        <v>713</v>
      </c>
      <c r="C40" s="54"/>
      <c r="D40" s="8">
        <f>+'2.7. sz. Könyvtár'!K40</f>
        <v>144355</v>
      </c>
      <c r="E40" s="8">
        <f>SUMIF('2.1. sz. PMH'!$D$4:$L$4,"önként vállalt",'2.1. sz. PMH'!D40:L40)+SUMIF('2.2. sz. Hétszínvirág Óvoda'!$D$4:$G$4,"önként vállalt",'2.2. sz. Hétszínvirág Óvoda'!D40:G40)+SUMIF('2.3. sz. Mese Óvoda'!$D$4:$I$4,"önként vállalt",'2.3. sz. Mese Óvoda'!D40:I40)+SUMIF('2.4. sz. Bölcsőde'!$D$4:$H$4,"önként vállalt",'2.4. sz. Bölcsőde'!D40:H40)+SUMIF('2.5. sz. Gyermekjóléti'!$D$4:$J$4,"önként vállalt",'2.5. sz. Gyermekjóléti'!D40:J40)+SUMIF('2.6 sz. Területi'!$D$4:$V$4,"önként vállalt",'2.6 sz. Területi'!D40:V40)+SUMIF('2.7. sz. Könyvtár'!$D$4:$K$4,"önként vállalt",'2.7. sz. Könyvtár'!D40:K40)+SUMIF('2.8. sz. Műv.Ház'!$D$4:$J$4,"önként vállalt",'2.8. sz. Műv.Ház'!D40:J40)+SUMIF('2.9. sz. Szivárvány Ó.'!$D$4:$H$4,"önként vállalt",'2.9. sz. Szivárvány Ó.'!D40:H40)</f>
        <v>0</v>
      </c>
      <c r="F40" s="8">
        <f>SUMIF('2.1. sz. PMH'!$D$4:$L$4,"államigazgatási",'2.1. sz. PMH'!D40:L40)+SUMIF('2.2. sz. Hétszínvirág Óvoda'!$D$4:$G$4,"államigazgatási",'2.2. sz. Hétszínvirág Óvoda'!D40:G40)+SUMIF('2.3. sz. Mese Óvoda'!$D$4:$I$4,"államigazgatási",'2.3. sz. Mese Óvoda'!D40:I40)+SUMIF('2.4. sz. Bölcsőde'!$D$4:$H$4,"államigazgatási",'2.4. sz. Bölcsőde'!D40:H40)+SUMIF('2.5. sz. Gyermekjóléti'!$D$4:$J$4,"államigazgatási",'2.5. sz. Gyermekjóléti'!D40:J40)+SUMIF('2.6 sz. Területi'!$D$4:$V$4,"államigazgatási",'2.6 sz. Területi'!D40:V40)+SUMIF('2.7. sz. Könyvtár'!$D$4:$K$4,"államigazgatási",'2.7. sz. Könyvtár'!D40:K40)+SUMIF('2.8. sz. Műv.Ház'!$D$4:$J$4,"államigazgatási",'2.8. sz. Műv.Ház'!D40:J40)+SUMIF('2.9. sz. Szivárvány Ó.'!$D$4:$H$4,"államigazgatási",'2.9. sz. Szivárvány Ó.'!D40:H40)</f>
        <v>0</v>
      </c>
      <c r="G40" s="8">
        <f t="shared" si="1"/>
        <v>144355</v>
      </c>
      <c r="H40" s="166">
        <f>'2.1. sz. PMH'!M40+'2.2. sz. Hétszínvirág Óvoda'!H40+'2.3. sz. Mese Óvoda'!I40+'2.4. sz. Bölcsőde'!I40+'2.5. sz. Gyermekjóléti'!K40+'2.6 sz. Területi'!W40+'2.7. sz. Könyvtár'!K40</f>
        <v>144355</v>
      </c>
      <c r="I40" s="165">
        <f t="shared" si="0"/>
        <v>0</v>
      </c>
    </row>
    <row r="41" spans="1:9" ht="23.25" customHeight="1">
      <c r="A41" s="49" t="s">
        <v>341</v>
      </c>
      <c r="B41" s="56" t="s">
        <v>714</v>
      </c>
      <c r="C41" s="54"/>
      <c r="D41" s="8">
        <f>SUMIF('2.1. sz. PMH'!$D$4:$L$4,"kötelező",'2.1. sz. PMH'!D41:L41)+SUMIF('2.2. sz. Hétszínvirág Óvoda'!$D$4:$G$4,"kötelező",'2.2. sz. Hétszínvirág Óvoda'!D41:G41)+SUMIF('2.3. sz. Mese Óvoda'!$D$4:$I$4,"kötelező",'2.3. sz. Mese Óvoda'!D41:I41)+SUMIF('2.4. sz. Bölcsőde'!$D$4:$H$4,"kötelező",'2.4. sz. Bölcsőde'!D41:H41)+SUMIF('2.5. sz. Gyermekjóléti'!$D$4:$J$4,"kötelező",'2.5. sz. Gyermekjóléti'!D41:J41)+SUMIF('2.6 sz. Területi'!$D$4:$V$4,"kötelező",'2.6 sz. Területi'!D41:V41)+SUMIF('2.7. sz. Könyvtár'!$D$4:$K$4,"kötelező",'2.7. sz. Könyvtár'!D41:K41)+SUMIF('2.8. sz. Műv.Ház'!$D$4:$J$4,"kötelező",'2.8. sz. Műv.Ház'!D41:J41)+SUMIF('2.9. sz. Szivárvány Ó.'!$D$4:$H$4,"kötelező",'2.9. sz. Szivárvány Ó.'!D41:H41)</f>
        <v>0</v>
      </c>
      <c r="E41" s="8">
        <f>SUMIF('2.1. sz. PMH'!$D$4:$L$4,"önként vállalt",'2.1. sz. PMH'!D41:L41)+SUMIF('2.2. sz. Hétszínvirág Óvoda'!$D$4:$G$4,"önként vállalt",'2.2. sz. Hétszínvirág Óvoda'!D41:G41)+SUMIF('2.3. sz. Mese Óvoda'!$D$4:$I$4,"önként vállalt",'2.3. sz. Mese Óvoda'!D41:I41)+SUMIF('2.4. sz. Bölcsőde'!$D$4:$H$4,"önként vállalt",'2.4. sz. Bölcsőde'!D41:H41)+SUMIF('2.5. sz. Gyermekjóléti'!$D$4:$J$4,"önként vállalt",'2.5. sz. Gyermekjóléti'!D41:J41)+SUMIF('2.6 sz. Területi'!$D$4:$V$4,"önként vállalt",'2.6 sz. Területi'!D41:V41)+SUMIF('2.7. sz. Könyvtár'!$D$4:$K$4,"önként vállalt",'2.7. sz. Könyvtár'!D41:K41)+SUMIF('2.8. sz. Műv.Ház'!$D$4:$J$4,"önként vállalt",'2.8. sz. Műv.Ház'!D41:J41)+SUMIF('2.9. sz. Szivárvány Ó.'!$D$4:$H$4,"önként vállalt",'2.9. sz. Szivárvány Ó.'!D41:H41)</f>
        <v>0</v>
      </c>
      <c r="F41" s="8">
        <f>SUMIF('2.1. sz. PMH'!$D$4:$L$4,"államigazgatási",'2.1. sz. PMH'!D41:L41)+SUMIF('2.2. sz. Hétszínvirág Óvoda'!$D$4:$G$4,"államigazgatási",'2.2. sz. Hétszínvirág Óvoda'!D41:G41)+SUMIF('2.3. sz. Mese Óvoda'!$D$4:$I$4,"államigazgatási",'2.3. sz. Mese Óvoda'!D41:I41)+SUMIF('2.4. sz. Bölcsőde'!$D$4:$H$4,"államigazgatási",'2.4. sz. Bölcsőde'!D41:H41)+SUMIF('2.5. sz. Gyermekjóléti'!$D$4:$J$4,"államigazgatási",'2.5. sz. Gyermekjóléti'!D41:J41)+SUMIF('2.6 sz. Területi'!$D$4:$V$4,"államigazgatási",'2.6 sz. Területi'!D41:V41)+SUMIF('2.7. sz. Könyvtár'!$D$4:$K$4,"államigazgatási",'2.7. sz. Könyvtár'!D41:K41)+SUMIF('2.8. sz. Műv.Ház'!$D$4:$J$4,"államigazgatási",'2.8. sz. Műv.Ház'!D41:J41)+SUMIF('2.9. sz. Szivárvány Ó.'!$D$4:$H$4,"államigazgatási",'2.9. sz. Szivárvány Ó.'!D41:H41)</f>
        <v>0</v>
      </c>
      <c r="G41" s="8">
        <f t="shared" si="1"/>
        <v>0</v>
      </c>
      <c r="H41" s="166">
        <f>'2.1. sz. PMH'!M41+'2.2. sz. Hétszínvirág Óvoda'!H41+'2.3. sz. Mese Óvoda'!I41+'2.4. sz. Bölcsőde'!I41+'2.5. sz. Gyermekjóléti'!K41+'2.6 sz. Területi'!W41+'2.7. sz. Könyvtár'!K41</f>
        <v>0</v>
      </c>
      <c r="I41" s="165">
        <f t="shared" si="0"/>
        <v>0</v>
      </c>
    </row>
    <row r="42" spans="1:10" ht="23.25" customHeight="1">
      <c r="A42" s="49" t="s">
        <v>342</v>
      </c>
      <c r="B42" s="56" t="s">
        <v>715</v>
      </c>
      <c r="C42" s="54"/>
      <c r="D42" s="8">
        <f>SUMIF('2.1. sz. PMH'!$D$4:$L$4,"kötelező",'2.1. sz. PMH'!D42:L42)+SUMIF('2.2. sz. Hétszínvirág Óvoda'!$D$4:$G$4,"kötelező",'2.2. sz. Hétszínvirág Óvoda'!D42:G42)+SUMIF('2.3. sz. Mese Óvoda'!$D$4:$I$4,"kötelező",'2.3. sz. Mese Óvoda'!D42:I42)+SUMIF('2.4. sz. Bölcsőde'!$D$4:$H$4,"kötelező",'2.4. sz. Bölcsőde'!D42:H42)+SUMIF('2.5. sz. Gyermekjóléti'!$D$4:$J$4,"kötelező",'2.5. sz. Gyermekjóléti'!D42:J42)+SUMIF('2.6 sz. Területi'!$D$4:$V$4,"kötelező",'2.6 sz. Területi'!D42:V42)+SUMIF('2.7. sz. Könyvtár'!$D$4:$K$4,"kötelező",'2.7. sz. Könyvtár'!D42:K42)+SUMIF('2.8. sz. Műv.Ház'!$D$4:$J$4,"kötelező",'2.8. sz. Műv.Ház'!D42:J42)+SUMIF('2.9. sz. Szivárvány Ó.'!$D$4:$H$4,"kötelező",'2.9. sz. Szivárvány Ó.'!D42:H42)</f>
        <v>2316822077</v>
      </c>
      <c r="E42" s="8">
        <f>SUMIF('2.1. sz. PMH'!$D$4:$L$4,"önként vállalt",'2.1. sz. PMH'!D42:L42)+SUMIF('2.2. sz. Hétszínvirág Óvoda'!$D$4:$G$4,"önként vállalt",'2.2. sz. Hétszínvirág Óvoda'!D42:G42)+SUMIF('2.3. sz. Mese Óvoda'!$D$4:$I$4,"önként vállalt",'2.3. sz. Mese Óvoda'!D42:I42)+SUMIF('2.4. sz. Bölcsőde'!$D$4:$H$4,"önként vállalt",'2.4. sz. Bölcsőde'!D42:H42)+SUMIF('2.5. sz. Gyermekjóléti'!$D$4:$J$4,"önként vállalt",'2.5. sz. Gyermekjóléti'!D42:J42)+SUMIF('2.6 sz. Területi'!$D$4:$V$4,"önként vállalt",'2.6 sz. Területi'!D42:V42)+SUMIF('2.7. sz. Könyvtár'!$D$4:$K$4,"önként vállalt",'2.7. sz. Könyvtár'!D42:K42)+SUMIF('2.8. sz. Műv.Ház'!$D$4:$J$4,"önként vállalt",'2.8. sz. Műv.Ház'!D42:J42)+SUMIF('2.9. sz. Szivárvány Ó.'!$D$4:$H$4,"önként vállalt",'2.9. sz. Szivárvány Ó.'!D42:H42)</f>
        <v>0</v>
      </c>
      <c r="F42" s="8">
        <f>SUMIF('2.1. sz. PMH'!$D$4:$L$4,"államigazgatási",'2.1. sz. PMH'!D42:L42)+SUMIF('2.2. sz. Hétszínvirág Óvoda'!$D$4:$G$4,"államigazgatási",'2.2. sz. Hétszínvirág Óvoda'!D42:G42)+SUMIF('2.3. sz. Mese Óvoda'!$D$4:$I$4,"államigazgatási",'2.3. sz. Mese Óvoda'!D42:I42)+SUMIF('2.4. sz. Bölcsőde'!$D$4:$H$4,"államigazgatási",'2.4. sz. Bölcsőde'!D42:H42)+SUMIF('2.5. sz. Gyermekjóléti'!$D$4:$J$4,"államigazgatási",'2.5. sz. Gyermekjóléti'!D42:J42)+SUMIF('2.6 sz. Területi'!$D$4:$V$4,"államigazgatási",'2.6 sz. Területi'!D42:V42)+SUMIF('2.7. sz. Könyvtár'!$D$4:$K$4,"államigazgatási",'2.7. sz. Könyvtár'!D42:K42)+SUMIF('2.8. sz. Műv.Ház'!$D$4:$J$4,"államigazgatási",'2.8. sz. Műv.Ház'!D42:J42)+SUMIF('2.9. sz. Szivárvány Ó.'!$D$4:$H$4,"államigazgatási",'2.9. sz. Szivárvány Ó.'!D42:H42)</f>
        <v>0</v>
      </c>
      <c r="G42" s="8">
        <f t="shared" si="1"/>
        <v>2316822077</v>
      </c>
      <c r="H42" s="166">
        <f>'2.1. sz. PMH'!M42+'2.2. sz. Hétszínvirág Óvoda'!H42+'2.3. sz. Mese Óvoda'!I42+'2.4. sz. Bölcsőde'!I42+'2.5. sz. Gyermekjóléti'!K42+'2.6 sz. Területi'!W42+'2.7. sz. Könyvtár'!K42</f>
        <v>2024949856</v>
      </c>
      <c r="I42" s="165">
        <f t="shared" si="0"/>
        <v>-291872221</v>
      </c>
      <c r="J42" s="165">
        <f>+G42+G43</f>
        <v>2380186856</v>
      </c>
    </row>
    <row r="43" spans="1:9" ht="23.25" customHeight="1">
      <c r="A43" s="49" t="s">
        <v>343</v>
      </c>
      <c r="B43" s="56" t="s">
        <v>855</v>
      </c>
      <c r="C43" s="54"/>
      <c r="D43" s="8">
        <f>SUMIF('2.1. sz. PMH'!$D$4:$L$4,"kötelező",'2.1. sz. PMH'!D43:L43)+SUMIF('2.2. sz. Hétszínvirág Óvoda'!$D$4:$G$4,"kötelező",'2.2. sz. Hétszínvirág Óvoda'!D43:G43)+SUMIF('2.3. sz. Mese Óvoda'!$D$4:$I$4,"kötelező",'2.3. sz. Mese Óvoda'!D43:I43)+SUMIF('2.4. sz. Bölcsőde'!$D$4:$H$4,"kötelező",'2.4. sz. Bölcsőde'!D43:H43)+SUMIF('2.5. sz. Gyermekjóléti'!$D$4:$J$4,"kötelező",'2.5. sz. Gyermekjóléti'!D43:J43)+SUMIF('2.6 sz. Területi'!$D$4:$V$4,"kötelező",'2.6 sz. Területi'!D43:V43)+SUMIF('2.7. sz. Könyvtár'!$D$4:$K$4,"kötelező",'2.7. sz. Könyvtár'!D43:K43)+SUMIF('2.8. sz. Műv.Ház'!$D$4:$J$4,"kötelező",'2.8. sz. Műv.Ház'!D43:J43)+SUMIF('2.9. sz. Szivárvány Ó.'!$D$4:$H$4,"kötelező",'2.9. sz. Szivárvány Ó.'!D43:H43)</f>
        <v>63364779</v>
      </c>
      <c r="E43" s="8">
        <f>SUMIF('2.1. sz. PMH'!$D$4:$L$4,"önként vállalt",'2.1. sz. PMH'!D43:L43)+SUMIF('2.2. sz. Hétszínvirág Óvoda'!$D$4:$G$4,"önként vállalt",'2.2. sz. Hétszínvirág Óvoda'!D43:G43)+SUMIF('2.3. sz. Mese Óvoda'!$D$4:$I$4,"önként vállalt",'2.3. sz. Mese Óvoda'!D43:I43)+SUMIF('2.4. sz. Bölcsőde'!$D$4:$H$4,"önként vállalt",'2.4. sz. Bölcsőde'!D43:H43)+SUMIF('2.5. sz. Gyermekjóléti'!$D$4:$J$4,"önként vállalt",'2.5. sz. Gyermekjóléti'!D43:J43)+SUMIF('2.6 sz. Területi'!$D$4:$V$4,"önként vállalt",'2.6 sz. Területi'!D43:V43)+SUMIF('2.7. sz. Könyvtár'!$D$4:$K$4,"önként vállalt",'2.7. sz. Könyvtár'!D43:K43)+SUMIF('2.8. sz. Műv.Ház'!$D$4:$J$4,"önként vállalt",'2.8. sz. Műv.Ház'!D43:J43)+SUMIF('2.9. sz. Szivárvány Ó.'!$D$4:$H$4,"önként vállalt",'2.9. sz. Szivárvány Ó.'!D43:H43)</f>
        <v>0</v>
      </c>
      <c r="F43" s="8">
        <f>SUMIF('2.1. sz. PMH'!$D$4:$L$4,"államigazgatási",'2.1. sz. PMH'!D43:L43)+SUMIF('2.2. sz. Hétszínvirág Óvoda'!$D$4:$G$4,"államigazgatási",'2.2. sz. Hétszínvirág Óvoda'!D43:G43)+SUMIF('2.3. sz. Mese Óvoda'!$D$4:$I$4,"államigazgatási",'2.3. sz. Mese Óvoda'!D43:I43)+SUMIF('2.4. sz. Bölcsőde'!$D$4:$H$4,"államigazgatási",'2.4. sz. Bölcsőde'!D43:H43)+SUMIF('2.5. sz. Gyermekjóléti'!$D$4:$J$4,"államigazgatási",'2.5. sz. Gyermekjóléti'!D43:J43)+SUMIF('2.6 sz. Területi'!$D$4:$V$4,"államigazgatási",'2.6 sz. Területi'!D43:V43)+SUMIF('2.7. sz. Könyvtár'!$D$4:$K$4,"államigazgatási",'2.7. sz. Könyvtár'!D43:K43)+SUMIF('2.8. sz. Műv.Ház'!$D$4:$J$4,"államigazgatási",'2.8. sz. Műv.Ház'!D43:J43)+SUMIF('2.9. sz. Szivárvány Ó.'!$D$4:$H$4,"államigazgatási",'2.9. sz. Szivárvány Ó.'!D43:H43)</f>
        <v>0</v>
      </c>
      <c r="G43" s="8">
        <f t="shared" si="1"/>
        <v>63364779</v>
      </c>
      <c r="H43" s="166">
        <f>'2.1. sz. PMH'!M43+'2.2. sz. Hétszínvirág Óvoda'!H43+'2.3. sz. Mese Óvoda'!I43+'2.4. sz. Bölcsőde'!I43+'2.5. sz. Gyermekjóléti'!K43+'2.6 sz. Területi'!W43+'2.7. sz. Könyvtár'!K43</f>
        <v>60713779</v>
      </c>
      <c r="I43" s="165">
        <f t="shared" si="0"/>
        <v>-2651000</v>
      </c>
    </row>
    <row r="44" spans="1:9" ht="23.25" customHeight="1">
      <c r="A44" s="49" t="s">
        <v>344</v>
      </c>
      <c r="B44" s="56" t="s">
        <v>769</v>
      </c>
      <c r="C44" s="54"/>
      <c r="D44" s="8">
        <f>SUMIF('2.1. sz. PMH'!$D$4:$L$4,"kötelező",'2.1. sz. PMH'!D44:L44)+SUMIF('2.2. sz. Hétszínvirág Óvoda'!$D$4:$G$4,"kötelező",'2.2. sz. Hétszínvirág Óvoda'!D44:G44)+SUMIF('2.3. sz. Mese Óvoda'!$D$4:$I$4,"kötelező",'2.3. sz. Mese Óvoda'!D44:I44)+SUMIF('2.4. sz. Bölcsőde'!$D$4:$H$4,"kötelező",'2.4. sz. Bölcsőde'!D44:H44)+SUMIF('2.5. sz. Gyermekjóléti'!$D$4:$J$4,"kötelező",'2.5. sz. Gyermekjóléti'!D44:J44)+SUMIF('2.6 sz. Területi'!$D$4:$V$4,"kötelező",'2.6 sz. Területi'!D44:V44)+SUMIF('2.7. sz. Könyvtár'!$D$4:$K$4,"kötelező",'2.7. sz. Könyvtár'!D44:K44)+SUMIF('2.8. sz. Műv.Ház'!$D$4:$J$4,"kötelező",'2.8. sz. Műv.Ház'!D44:J44)+SUMIF('2.9. sz. Szivárvány Ó.'!$D$4:$H$4,"kötelező",'2.9. sz. Szivárvány Ó.'!D44:H44)</f>
        <v>0</v>
      </c>
      <c r="E44" s="8">
        <f>SUMIF('2.1. sz. PMH'!$D$4:$L$4,"önként vállalt",'2.1. sz. PMH'!D44:L44)+SUMIF('2.2. sz. Hétszínvirág Óvoda'!$D$4:$G$4,"önként vállalt",'2.2. sz. Hétszínvirág Óvoda'!D44:G44)+SUMIF('2.3. sz. Mese Óvoda'!$D$4:$I$4,"önként vállalt",'2.3. sz. Mese Óvoda'!D44:I44)+SUMIF('2.4. sz. Bölcsőde'!$D$4:$H$4,"önként vállalt",'2.4. sz. Bölcsőde'!D44:H44)+SUMIF('2.5. sz. Gyermekjóléti'!$D$4:$J$4,"önként vállalt",'2.5. sz. Gyermekjóléti'!D44:J44)+SUMIF('2.6 sz. Területi'!$D$4:$V$4,"önként vállalt",'2.6 sz. Területi'!D44:V44)+SUMIF('2.7. sz. Könyvtár'!$D$4:$K$4,"önként vállalt",'2.7. sz. Könyvtár'!D44:K44)+SUMIF('2.8. sz. Műv.Ház'!$D$4:$J$4,"önként vállalt",'2.8. sz. Műv.Ház'!D44:J44)+SUMIF('2.9. sz. Szivárvány Ó.'!$D$4:$H$4,"önként vállalt",'2.9. sz. Szivárvány Ó.'!D44:H44)</f>
        <v>0</v>
      </c>
      <c r="F44" s="8">
        <f>SUMIF('2.1. sz. PMH'!$D$4:$L$4,"államigazgatási",'2.1. sz. PMH'!D44:L44)+SUMIF('2.2. sz. Hétszínvirág Óvoda'!$D$4:$G$4,"államigazgatási",'2.2. sz. Hétszínvirág Óvoda'!D44:G44)+SUMIF('2.3. sz. Mese Óvoda'!$D$4:$I$4,"államigazgatási",'2.3. sz. Mese Óvoda'!D44:I44)+SUMIF('2.4. sz. Bölcsőde'!$D$4:$H$4,"államigazgatási",'2.4. sz. Bölcsőde'!D44:H44)+SUMIF('2.5. sz. Gyermekjóléti'!$D$4:$J$4,"államigazgatási",'2.5. sz. Gyermekjóléti'!D44:J44)+SUMIF('2.6 sz. Területi'!$D$4:$V$4,"államigazgatási",'2.6 sz. Területi'!D44:V44)+SUMIF('2.7. sz. Könyvtár'!$D$4:$K$4,"államigazgatási",'2.7. sz. Könyvtár'!D44:K44)+SUMIF('2.8. sz. Műv.Ház'!$D$4:$J$4,"államigazgatási",'2.8. sz. Műv.Ház'!D44:J44)+SUMIF('2.9. sz. Szivárvány Ó.'!$D$4:$H$4,"államigazgatási",'2.9. sz. Szivárvány Ó.'!D44:H44)</f>
        <v>0</v>
      </c>
      <c r="G44" s="8">
        <f t="shared" si="1"/>
        <v>0</v>
      </c>
      <c r="H44" s="166">
        <f>'2.1. sz. PMH'!M44+'2.2. sz. Hétszínvirág Óvoda'!H44+'2.3. sz. Mese Óvoda'!I44+'2.4. sz. Bölcsőde'!I44+'2.5. sz. Gyermekjóléti'!K44+'2.6 sz. Területi'!W44+'2.7. sz. Könyvtár'!K44</f>
        <v>0</v>
      </c>
      <c r="I44" s="165">
        <f t="shared" si="0"/>
        <v>0</v>
      </c>
    </row>
    <row r="45" spans="1:9" ht="23.25" customHeight="1">
      <c r="A45" s="49" t="s">
        <v>345</v>
      </c>
      <c r="B45" s="56" t="s">
        <v>1409</v>
      </c>
      <c r="C45" s="54"/>
      <c r="D45" s="8"/>
      <c r="E45" s="8"/>
      <c r="F45" s="8"/>
      <c r="G45" s="8"/>
      <c r="H45" s="166"/>
      <c r="I45" s="165"/>
    </row>
    <row r="46" spans="1:9" s="60" customFormat="1" ht="23.25" customHeight="1">
      <c r="A46" s="49" t="s">
        <v>346</v>
      </c>
      <c r="B46" s="57" t="s">
        <v>145</v>
      </c>
      <c r="C46" s="50"/>
      <c r="D46" s="9">
        <f>SUMIF('2.1. sz. PMH'!$D$4:$L$4,"kötelező",'2.1. sz. PMH'!D46:L46)+SUMIF('2.2. sz. Hétszínvirág Óvoda'!$D$4:$G$4,"kötelező",'2.2. sz. Hétszínvirág Óvoda'!D46:G46)+SUMIF('2.3. sz. Mese Óvoda'!$D$4:$I$4,"kötelező",'2.3. sz. Mese Óvoda'!D46:I46)+SUMIF('2.4. sz. Bölcsőde'!$D$4:$H$4,"kötelező",'2.4. sz. Bölcsőde'!D46:H46)+SUMIF('2.5. sz. Gyermekjóléti'!$D$4:$J$4,"kötelező",'2.5. sz. Gyermekjóléti'!D46:J46)+SUMIF('2.6 sz. Területi'!$D$4:$V$4,"kötelező",'2.6 sz. Területi'!D46:V46)+SUMIF('2.7. sz. Könyvtár'!$D$4:$K$4,"kötelező",'2.7. sz. Könyvtár'!D46:K46)+SUMIF('2.8. sz. Műv.Ház'!$D$4:$J$4,"kötelező",'2.8. sz. Műv.Ház'!D46:J46)+SUMIF('2.9. sz. Szivárvány Ó.'!$D$4:$H$4,"kötelező",'2.9. sz. Szivárvány Ó.'!D46:H46)</f>
        <v>2555085572</v>
      </c>
      <c r="E46" s="9">
        <f>SUMIF('2.1. sz. PMH'!$D$4:$L$4,"önként vállalt",'2.1. sz. PMH'!D46:L46)+SUMIF('2.2. sz. Hétszínvirág Óvoda'!$D$4:$G$4,"önként vállalt",'2.2. sz. Hétszínvirág Óvoda'!D46:G46)+SUMIF('2.3. sz. Mese Óvoda'!$D$4:$I$4,"önként vállalt",'2.3. sz. Mese Óvoda'!D46:I46)+SUMIF('2.4. sz. Bölcsőde'!$D$4:$H$4,"önként vállalt",'2.4. sz. Bölcsőde'!D46:H46)+SUMIF('2.5. sz. Gyermekjóléti'!$D$4:$J$4,"önként vállalt",'2.5. sz. Gyermekjóléti'!D46:J46)+SUMIF('2.6 sz. Területi'!$D$4:$V$4,"önként vállalt",'2.6 sz. Területi'!D46:V46)+SUMIF('2.7. sz. Könyvtár'!$D$4:$K$4,"önként vállalt",'2.7. sz. Könyvtár'!D46:K46)+SUMIF('2.8. sz. Műv.Ház'!$D$4:$J$4,"önként vállalt",'2.8. sz. Műv.Ház'!D46:J46)+SUMIF('2.9. sz. Szivárvány Ó.'!$D$4:$H$4,"önként vállalt",'2.9. sz. Szivárvány Ó.'!D46:H46)</f>
        <v>3320000</v>
      </c>
      <c r="F46" s="9">
        <f>SUMIF('2.1. sz. PMH'!$D$4:$L$4,"államigazgatási",'2.1. sz. PMH'!D46:L46)+SUMIF('2.2. sz. Hétszínvirág Óvoda'!$D$4:$G$4,"államigazgatási",'2.2. sz. Hétszínvirág Óvoda'!D46:G46)+SUMIF('2.3. sz. Mese Óvoda'!$D$4:$I$4,"államigazgatási",'2.3. sz. Mese Óvoda'!D46:I46)+SUMIF('2.4. sz. Bölcsőde'!$D$4:$H$4,"államigazgatási",'2.4. sz. Bölcsőde'!D46:H46)+SUMIF('2.5. sz. Gyermekjóléti'!$D$4:$J$4,"államigazgatási",'2.5. sz. Gyermekjóléti'!D46:J46)+SUMIF('2.6 sz. Területi'!$D$4:$V$4,"államigazgatási",'2.6 sz. Területi'!D46:V46)+SUMIF('2.7. sz. Könyvtár'!$D$4:$K$4,"államigazgatási",'2.7. sz. Könyvtár'!D46:K46)+SUMIF('2.8. sz. Műv.Ház'!$D$4:$J$4,"államigazgatási",'2.8. sz. Műv.Ház'!D46:J46)+SUMIF('2.9. sz. Szivárvány Ó.'!$D$4:$H$4,"államigazgatási",'2.9. sz. Szivárvány Ó.'!D46:H46)</f>
        <v>2507968</v>
      </c>
      <c r="G46" s="9">
        <f t="shared" si="1"/>
        <v>2560913540</v>
      </c>
      <c r="H46" s="166">
        <f>'2.1. sz. PMH'!M46+'2.2. sz. Hétszínvirág Óvoda'!H46+'2.3. sz. Mese Óvoda'!I46+'2.4. sz. Bölcsőde'!I46+'2.5. sz. Gyermekjóléti'!K46+'2.6 sz. Területi'!W46+'2.7. sz. Könyvtár'!K46</f>
        <v>2261061819</v>
      </c>
      <c r="I46" s="165">
        <f t="shared" si="0"/>
        <v>-299851721</v>
      </c>
    </row>
    <row r="47" spans="1:9" s="60" customFormat="1" ht="23.25" customHeight="1">
      <c r="A47" s="49" t="s">
        <v>347</v>
      </c>
      <c r="B47" s="57" t="s">
        <v>146</v>
      </c>
      <c r="C47" s="50"/>
      <c r="D47" s="9">
        <f>SUMIF('2.1. sz. PMH'!$D$4:$L$4,"kötelező",'2.1. sz. PMH'!D47:L47)+SUMIF('2.2. sz. Hétszínvirág Óvoda'!$D$4:$G$4,"kötelező",'2.2. sz. Hétszínvirág Óvoda'!D47:G47)+SUMIF('2.3. sz. Mese Óvoda'!$D$4:$I$4,"kötelező",'2.3. sz. Mese Óvoda'!D47:I47)+SUMIF('2.4. sz. Bölcsőde'!$D$4:$H$4,"kötelező",'2.4. sz. Bölcsőde'!D47:H47)+SUMIF('2.5. sz. Gyermekjóléti'!$D$4:$J$4,"kötelező",'2.5. sz. Gyermekjóléti'!D47:J47)+SUMIF('2.6 sz. Területi'!$D$4:$V$4,"kötelező",'2.6 sz. Területi'!D47:V47)+SUMIF('2.7. sz. Könyvtár'!$D$4:$K$4,"kötelező",'2.7. sz. Könyvtár'!D47:K47)+SUMIF('2.8. sz. Műv.Ház'!$D$4:$J$4,"kötelező",'2.8. sz. Műv.Ház'!D47:J47)+SUMIF('2.9. sz. Szivárvány Ó.'!$D$4:$H$4,"kötelező",'2.9. sz. Szivárvány Ó.'!D47:H47)</f>
        <v>67896379</v>
      </c>
      <c r="E47" s="9">
        <f>SUMIF('2.1. sz. PMH'!$D$4:$L$4,"önként vállalt",'2.1. sz. PMH'!D47:L47)+SUMIF('2.2. sz. Hétszínvirág Óvoda'!$D$4:$G$4,"önként vállalt",'2.2. sz. Hétszínvirág Óvoda'!D47:G47)+SUMIF('2.3. sz. Mese Óvoda'!$D$4:$I$4,"önként vállalt",'2.3. sz. Mese Óvoda'!D47:I47)+SUMIF('2.4. sz. Bölcsőde'!$D$4:$H$4,"önként vállalt",'2.4. sz. Bölcsőde'!D47:H47)+SUMIF('2.5. sz. Gyermekjóléti'!$D$4:$J$4,"önként vállalt",'2.5. sz. Gyermekjóléti'!D47:J47)+SUMIF('2.6 sz. Területi'!$D$4:$V$4,"önként vállalt",'2.6 sz. Területi'!D47:V47)+SUMIF('2.7. sz. Könyvtár'!$D$4:$K$4,"önként vállalt",'2.7. sz. Könyvtár'!D47:K47)+SUMIF('2.8. sz. Műv.Ház'!$D$4:$J$4,"önként vállalt",'2.8. sz. Műv.Ház'!D47:J47)+SUMIF('2.9. sz. Szivárvány Ó.'!$D$4:$H$4,"önként vállalt",'2.9. sz. Szivárvány Ó.'!D47:H47)</f>
        <v>0</v>
      </c>
      <c r="F47" s="9">
        <f>SUMIF('2.1. sz. PMH'!$D$4:$L$4,"államigazgatási",'2.1. sz. PMH'!D47:L47)+SUMIF('2.2. sz. Hétszínvirág Óvoda'!$D$4:$G$4,"államigazgatási",'2.2. sz. Hétszínvirág Óvoda'!D47:G47)+SUMIF('2.3. sz. Mese Óvoda'!$D$4:$I$4,"államigazgatási",'2.3. sz. Mese Óvoda'!D47:I47)+SUMIF('2.4. sz. Bölcsőde'!$D$4:$H$4,"államigazgatási",'2.4. sz. Bölcsőde'!D47:H47)+SUMIF('2.5. sz. Gyermekjóléti'!$D$4:$J$4,"államigazgatási",'2.5. sz. Gyermekjóléti'!D47:J47)+SUMIF('2.6 sz. Területi'!$D$4:$V$4,"államigazgatási",'2.6 sz. Területi'!D47:V47)+SUMIF('2.7. sz. Könyvtár'!$D$4:$K$4,"államigazgatási",'2.7. sz. Könyvtár'!D47:K47)+SUMIF('2.8. sz. Műv.Ház'!$D$4:$J$4,"államigazgatási",'2.8. sz. Műv.Ház'!D47:J47)+SUMIF('2.9. sz. Szivárvány Ó.'!$D$4:$H$4,"államigazgatási",'2.9. sz. Szivárvány Ó.'!D47:H47)</f>
        <v>13300</v>
      </c>
      <c r="G47" s="9">
        <f t="shared" si="1"/>
        <v>67909679</v>
      </c>
      <c r="H47" s="166">
        <f>'2.1. sz. PMH'!M47+'2.2. sz. Hétszínvirág Óvoda'!H47+'2.3. sz. Mese Óvoda'!I47+'2.4. sz. Bölcsőde'!I47+'2.5. sz. Gyermekjóléti'!K47+'2.6 sz. Területi'!W47+'2.7. sz. Könyvtár'!K47</f>
        <v>65258679</v>
      </c>
      <c r="I47" s="165">
        <f t="shared" si="0"/>
        <v>-2651000</v>
      </c>
    </row>
    <row r="48" spans="1:10" s="60" customFormat="1" ht="23.25" customHeight="1">
      <c r="A48" s="49" t="s">
        <v>348</v>
      </c>
      <c r="B48" s="57" t="s">
        <v>399</v>
      </c>
      <c r="C48" s="50"/>
      <c r="D48" s="9">
        <f>SUMIF('2.1. sz. PMH'!$D$4:$L$4,"kötelező",'2.1. sz. PMH'!D48:L48)+SUMIF('2.2. sz. Hétszínvirág Óvoda'!$D$4:$G$4,"kötelező",'2.2. sz. Hétszínvirág Óvoda'!D48:G48)+SUMIF('2.3. sz. Mese Óvoda'!$D$4:$I$4,"kötelező",'2.3. sz. Mese Óvoda'!D48:I48)+SUMIF('2.4. sz. Bölcsőde'!$D$4:$H$4,"kötelező",'2.4. sz. Bölcsőde'!D48:H48)+SUMIF('2.5. sz. Gyermekjóléti'!$D$4:$J$4,"kötelező",'2.5. sz. Gyermekjóléti'!D48:J48)+SUMIF('2.6 sz. Területi'!$D$4:$V$4,"kötelező",'2.6 sz. Területi'!D48:V48)+SUMIF('2.7. sz. Könyvtár'!$D$4:$K$4,"kötelező",'2.7. sz. Könyvtár'!D48:K48)+SUMIF('2.8. sz. Műv.Ház'!$D$4:$J$4,"kötelező",'2.8. sz. Műv.Ház'!D48:J48)+SUMIF('2.9. sz. Szivárvány Ó.'!$D$4:$H$4,"kötelező",'2.9. sz. Szivárvány Ó.'!D48:H48)</f>
        <v>2622981951</v>
      </c>
      <c r="E48" s="9">
        <f>SUMIF('2.1. sz. PMH'!$D$4:$L$4,"önként vállalt",'2.1. sz. PMH'!D48:L48)+SUMIF('2.2. sz. Hétszínvirág Óvoda'!$D$4:$G$4,"önként vállalt",'2.2. sz. Hétszínvirág Óvoda'!D48:G48)+SUMIF('2.3. sz. Mese Óvoda'!$D$4:$I$4,"önként vállalt",'2.3. sz. Mese Óvoda'!D48:I48)+SUMIF('2.4. sz. Bölcsőde'!$D$4:$H$4,"önként vállalt",'2.4. sz. Bölcsőde'!D48:H48)+SUMIF('2.5. sz. Gyermekjóléti'!$D$4:$J$4,"önként vállalt",'2.5. sz. Gyermekjóléti'!D48:J48)+SUMIF('2.6 sz. Területi'!$D$4:$V$4,"önként vállalt",'2.6 sz. Területi'!D48:V48)+SUMIF('2.7. sz. Könyvtár'!$D$4:$K$4,"önként vállalt",'2.7. sz. Könyvtár'!D48:K48)+SUMIF('2.8. sz. Műv.Ház'!$D$4:$J$4,"önként vállalt",'2.8. sz. Műv.Ház'!D48:J48)+SUMIF('2.9. sz. Szivárvány Ó.'!$D$4:$H$4,"önként vállalt",'2.9. sz. Szivárvány Ó.'!D48:H48)</f>
        <v>3320000</v>
      </c>
      <c r="F48" s="9">
        <f>SUMIF('2.1. sz. PMH'!$D$4:$L$4,"államigazgatási",'2.1. sz. PMH'!D48:L48)+SUMIF('2.2. sz. Hétszínvirág Óvoda'!$D$4:$G$4,"államigazgatási",'2.2. sz. Hétszínvirág Óvoda'!D48:G48)+SUMIF('2.3. sz. Mese Óvoda'!$D$4:$I$4,"államigazgatási",'2.3. sz. Mese Óvoda'!D48:I48)+SUMIF('2.4. sz. Bölcsőde'!$D$4:$H$4,"államigazgatási",'2.4. sz. Bölcsőde'!D48:H48)+SUMIF('2.5. sz. Gyermekjóléti'!$D$4:$J$4,"államigazgatási",'2.5. sz. Gyermekjóléti'!D48:J48)+SUMIF('2.6 sz. Területi'!$D$4:$V$4,"államigazgatási",'2.6 sz. Területi'!D48:V48)+SUMIF('2.7. sz. Könyvtár'!$D$4:$K$4,"államigazgatási",'2.7. sz. Könyvtár'!D48:K48)+SUMIF('2.8. sz. Műv.Ház'!$D$4:$J$4,"államigazgatási",'2.8. sz. Műv.Ház'!D48:J48)+SUMIF('2.9. sz. Szivárvány Ó.'!$D$4:$H$4,"államigazgatási",'2.9. sz. Szivárvány Ó.'!D48:H48)</f>
        <v>2521268</v>
      </c>
      <c r="G48" s="9">
        <f t="shared" si="1"/>
        <v>2628823219</v>
      </c>
      <c r="H48" s="166">
        <f>'2.1. sz. PMH'!M48+'2.2. sz. Hétszínvirág Óvoda'!H48+'2.3. sz. Mese Óvoda'!I48+'2.4. sz. Bölcsőde'!I48+'2.5. sz. Gyermekjóléti'!K48+'2.6 sz. Területi'!W48+'2.7. sz. Könyvtár'!K48</f>
        <v>2326320498</v>
      </c>
      <c r="I48" s="165">
        <f t="shared" si="0"/>
        <v>-302502721</v>
      </c>
      <c r="J48" s="167">
        <f>G48-G29</f>
        <v>0</v>
      </c>
    </row>
    <row r="49" spans="1:9" ht="23.25" customHeight="1">
      <c r="A49" s="49" t="s">
        <v>349</v>
      </c>
      <c r="B49" s="90" t="s">
        <v>551</v>
      </c>
      <c r="C49" s="391"/>
      <c r="D49" s="8">
        <f>SUMIF('2.1. sz. PMH'!$D$4:$L$4,"kötelező",'2.1. sz. PMH'!D49:L49)+SUMIF('2.2. sz. Hétszínvirág Óvoda'!$D$4:$G$4,"kötelező",'2.2. sz. Hétszínvirág Óvoda'!D49:G49)+SUMIF('2.3. sz. Mese Óvoda'!$D$4:$I$4,"kötelező",'2.3. sz. Mese Óvoda'!D49:I49)+SUMIF('2.4. sz. Bölcsőde'!$D$4:$H$4,"kötelező",'2.4. sz. Bölcsőde'!D49:H49)+SUMIF('2.5. sz. Gyermekjóléti'!$D$4:$J$4,"kötelező",'2.5. sz. Gyermekjóléti'!D49:J49)+SUMIF('2.6 sz. Területi'!$D$4:$V$4,"kötelező",'2.6 sz. Területi'!D49:V49)+SUMIF('2.7. sz. Könyvtár'!$D$4:$K$4,"kötelező",'2.7. sz. Könyvtár'!D49:K49)+SUMIF('2.8. sz. Műv.Ház'!$D$4:$J$4,"kötelező",'2.8. sz. Műv.Ház'!D49:J49)+SUMIF('2.9. sz. Szivárvány Ó.'!$D$4:$H$4,"kötelező",'2.9. sz. Szivárvány Ó.'!D49:H49)</f>
        <v>312</v>
      </c>
      <c r="E49" s="8">
        <f>SUMIF('2.1. sz. PMH'!$D$4:$L$4,"önként vállalt",'2.1. sz. PMH'!D49:L49)+SUMIF('2.2. sz. Hétszínvirág Óvoda'!$D$4:$G$4,"önként vállalt",'2.2. sz. Hétszínvirág Óvoda'!D49:G49)+SUMIF('2.3. sz. Mese Óvoda'!$D$4:$I$4,"önként vállalt",'2.3. sz. Mese Óvoda'!D49:I49)+SUMIF('2.4. sz. Bölcsőde'!$D$4:$H$4,"önként vállalt",'2.4. sz. Bölcsőde'!D49:H49)+SUMIF('2.5. sz. Gyermekjóléti'!$D$4:$J$4,"önként vállalt",'2.5. sz. Gyermekjóléti'!D49:J49)+SUMIF('2.6 sz. Területi'!$D$4:$V$4,"önként vállalt",'2.6 sz. Területi'!D49:V49)+SUMIF('2.7. sz. Könyvtár'!$D$4:$K$4,"önként vállalt",'2.7. sz. Könyvtár'!D49:K49)+SUMIF('2.8. sz. Műv.Ház'!$D$4:$J$4,"önként vállalt",'2.8. sz. Műv.Ház'!D49:J49)+SUMIF('2.9. sz. Szivárvány Ó.'!$D$4:$H$4,"önként vállalt",'2.9. sz. Szivárvány Ó.'!D49:H49)</f>
        <v>5</v>
      </c>
      <c r="F49" s="8">
        <f>SUMIF('2.1. sz. PMH'!$D$4:$L$4,"államigazgatási",'2.1. sz. PMH'!D49:L49)+SUMIF('2.2. sz. Hétszínvirág Óvoda'!$D$4:$G$4,"államigazgatási",'2.2. sz. Hétszínvirág Óvoda'!D49:G49)+SUMIF('2.3. sz. Mese Óvoda'!$D$4:$I$4,"államigazgatási",'2.3. sz. Mese Óvoda'!D49:I49)+SUMIF('2.4. sz. Bölcsőde'!$D$4:$H$4,"államigazgatási",'2.4. sz. Bölcsőde'!D49:H49)+SUMIF('2.5. sz. Gyermekjóléti'!$D$4:$J$4,"államigazgatási",'2.5. sz. Gyermekjóléti'!D49:J49)+SUMIF('2.6 sz. Területi'!$D$4:$V$4,"államigazgatási",'2.6 sz. Területi'!D49:V49)+SUMIF('2.7. sz. Könyvtár'!$D$4:$K$4,"államigazgatási",'2.7. sz. Könyvtár'!D49:K49)+SUMIF('2.8. sz. Műv.Ház'!$D$4:$J$4,"államigazgatási",'2.8. sz. Műv.Ház'!D49:J49)+SUMIF('2.9. sz. Szivárvány Ó.'!$D$4:$H$4,"államigazgatási",'2.9. sz. Szivárvány Ó.'!D49:H49)</f>
        <v>9</v>
      </c>
      <c r="G49" s="8">
        <f t="shared" si="1"/>
        <v>326</v>
      </c>
      <c r="H49" s="166">
        <f>'2.1. sz. PMH'!M49+'2.2. sz. Hétszínvirág Óvoda'!H49+'2.3. sz. Mese Óvoda'!I49+'2.4. sz. Bölcsőde'!I49+'2.5. sz. Gyermekjóléti'!K49+'2.6 sz. Területi'!W49+'2.7. sz. Könyvtár'!K49</f>
        <v>275</v>
      </c>
      <c r="I49" s="165">
        <f t="shared" si="0"/>
        <v>-51</v>
      </c>
    </row>
    <row r="50" spans="1:9" ht="23.25" customHeight="1">
      <c r="A50" s="49" t="s">
        <v>350</v>
      </c>
      <c r="B50" s="90" t="s">
        <v>899</v>
      </c>
      <c r="C50" s="391"/>
      <c r="D50" s="8">
        <f>SUMIF('2.1. sz. PMH'!$D$4:$L$4,"kötelező",'2.1. sz. PMH'!D50:L50)+SUMIF('2.2. sz. Hétszínvirág Óvoda'!$D$4:$G$4,"kötelező",'2.2. sz. Hétszínvirág Óvoda'!D50:G50)+SUMIF('2.3. sz. Mese Óvoda'!$D$4:$I$4,"kötelező",'2.3. sz. Mese Óvoda'!D50:I50)+SUMIF('2.4. sz. Bölcsőde'!$D$4:$H$4,"kötelező",'2.4. sz. Bölcsőde'!D50:H50)+SUMIF('2.5. sz. Gyermekjóléti'!$D$4:$J$4,"kötelező",'2.5. sz. Gyermekjóléti'!D50:J50)+SUMIF('2.6 sz. Területi'!$D$4:$V$4,"kötelező",'2.6 sz. Területi'!D50:V50)+SUMIF('2.7. sz. Könyvtár'!$D$4:$K$4,"kötelező",'2.7. sz. Könyvtár'!D50:K50)+SUMIF('2.8. sz. Műv.Ház'!$D$4:$J$4,"kötelező",'2.8. sz. Műv.Ház'!D50:J50)+SUMIF('2.9. sz. Szivárvány Ó.'!$D$4:$H$4,"kötelező",'2.9. sz. Szivárvány Ó.'!D50:H50)</f>
        <v>0</v>
      </c>
      <c r="E50" s="8">
        <f>SUMIF('2.1. sz. PMH'!$D$4:$L$4,"önként vállalt",'2.1. sz. PMH'!D50:L50)+SUMIF('2.2. sz. Hétszínvirág Óvoda'!$D$4:$G$4,"önként vállalt",'2.2. sz. Hétszínvirág Óvoda'!D50:G50)+SUMIF('2.3. sz. Mese Óvoda'!$D$4:$I$4,"önként vállalt",'2.3. sz. Mese Óvoda'!D50:I50)+SUMIF('2.4. sz. Bölcsőde'!$D$4:$H$4,"önként vállalt",'2.4. sz. Bölcsőde'!D50:H50)+SUMIF('2.5. sz. Gyermekjóléti'!$D$4:$J$4,"önként vállalt",'2.5. sz. Gyermekjóléti'!D50:J50)+SUMIF('2.6 sz. Területi'!$D$4:$V$4,"önként vállalt",'2.6 sz. Területi'!D50:V50)+SUMIF('2.7. sz. Könyvtár'!$D$4:$K$4,"önként vállalt",'2.7. sz. Könyvtár'!D50:K50)+SUMIF('2.8. sz. Műv.Ház'!$D$4:$J$4,"önként vállalt",'2.8. sz. Műv.Ház'!D50:J50)+SUMIF('2.9. sz. Szivárvány Ó.'!$D$4:$H$4,"önként vállalt",'2.9. sz. Szivárvány Ó.'!D50:H50)</f>
        <v>0</v>
      </c>
      <c r="F50" s="8">
        <f>SUMIF('2.1. sz. PMH'!$D$4:$L$4,"államigazgatási",'2.1. sz. PMH'!D50:L50)+SUMIF('2.2. sz. Hétszínvirág Óvoda'!$D$4:$G$4,"államigazgatási",'2.2. sz. Hétszínvirág Óvoda'!D50:G50)+SUMIF('2.3. sz. Mese Óvoda'!$D$4:$I$4,"államigazgatási",'2.3. sz. Mese Óvoda'!D50:I50)+SUMIF('2.4. sz. Bölcsőde'!$D$4:$H$4,"államigazgatási",'2.4. sz. Bölcsőde'!D50:H50)+SUMIF('2.5. sz. Gyermekjóléti'!$D$4:$J$4,"államigazgatási",'2.5. sz. Gyermekjóléti'!D50:J50)+SUMIF('2.6 sz. Területi'!$D$4:$V$4,"államigazgatási",'2.6 sz. Területi'!D50:V50)+SUMIF('2.7. sz. Könyvtár'!$D$4:$K$4,"államigazgatási",'2.7. sz. Könyvtár'!D50:K50)+SUMIF('2.8. sz. Műv.Ház'!$D$4:$I$4,"államigazgatási",'2.8. sz. Műv.Ház'!D50:I50)+SUMIF('2.9. sz. Szivárvány Ó.'!$D$4:$H$4,"államigazgatási",'2.9. sz. Szivárvány Ó.'!D50:H50)</f>
        <v>0</v>
      </c>
      <c r="G50" s="471">
        <f t="shared" si="1"/>
        <v>0</v>
      </c>
      <c r="H50" s="166"/>
      <c r="I50" s="165"/>
    </row>
    <row r="51" spans="1:7" ht="15.75">
      <c r="A51" s="110"/>
      <c r="D51" s="34"/>
      <c r="E51" s="34"/>
      <c r="F51" s="34"/>
      <c r="G51" s="34"/>
    </row>
    <row r="52" spans="4:7" ht="15.75">
      <c r="D52" s="59"/>
      <c r="E52" s="59"/>
      <c r="F52" s="59"/>
      <c r="G52" s="59"/>
    </row>
    <row r="53" spans="4:7" ht="15.75">
      <c r="D53" s="59"/>
      <c r="E53" s="59"/>
      <c r="F53" s="59"/>
      <c r="G53" s="59"/>
    </row>
    <row r="54" ht="15.75">
      <c r="G54" s="28">
        <f>+G48-G29</f>
        <v>0</v>
      </c>
    </row>
  </sheetData>
  <sheetProtection/>
  <mergeCells count="7">
    <mergeCell ref="A2:C2"/>
    <mergeCell ref="D4:G5"/>
    <mergeCell ref="B4:C4"/>
    <mergeCell ref="B5:C5"/>
    <mergeCell ref="A3:A6"/>
    <mergeCell ref="B3:C3"/>
    <mergeCell ref="D2:G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scale="55" r:id="rId1"/>
  <headerFooter alignWithMargins="0">
    <oddHeader>&amp;C2019. évi költségvetés&amp;R&amp;A</oddHeader>
    <oddFooter>&amp;C&amp;P/&amp;N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="75" zoomScaleSheetLayoutView="75" workbookViewId="0" topLeftCell="A1">
      <pane xSplit="3" ySplit="7" topLeftCell="E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5" sqref="K5"/>
    </sheetView>
  </sheetViews>
  <sheetFormatPr defaultColWidth="11.125" defaultRowHeight="12.75"/>
  <cols>
    <col min="1" max="1" width="7.125" style="7" customWidth="1"/>
    <col min="2" max="2" width="66.25390625" style="4" customWidth="1"/>
    <col min="3" max="3" width="7.25390625" style="4" customWidth="1"/>
    <col min="4" max="4" width="20.375" style="4" customWidth="1"/>
    <col min="5" max="5" width="19.75390625" style="4" customWidth="1"/>
    <col min="6" max="6" width="17.75390625" style="4" customWidth="1"/>
    <col min="7" max="7" width="20.25390625" style="4" customWidth="1"/>
    <col min="8" max="8" width="23.75390625" style="4" bestFit="1" customWidth="1"/>
    <col min="9" max="9" width="18.375" style="4" bestFit="1" customWidth="1"/>
    <col min="10" max="10" width="20.125" style="4" bestFit="1" customWidth="1"/>
    <col min="11" max="11" width="32.125" style="4" customWidth="1"/>
    <col min="12" max="12" width="16.625" style="4" bestFit="1" customWidth="1"/>
    <col min="13" max="22" width="9.125" style="4" customWidth="1"/>
    <col min="23" max="23" width="7.125" style="4" customWidth="1"/>
    <col min="24" max="24" width="58.25390625" style="4" bestFit="1" customWidth="1"/>
    <col min="25" max="25" width="6.875" style="4" bestFit="1" customWidth="1"/>
    <col min="26" max="26" width="11.25390625" style="4" customWidth="1"/>
    <col min="27" max="27" width="9.375" style="4" customWidth="1"/>
    <col min="28" max="28" width="12.75390625" style="4" customWidth="1"/>
    <col min="29" max="29" width="14.75390625" style="4" customWidth="1"/>
    <col min="30" max="35" width="13.00390625" style="4" customWidth="1"/>
    <col min="36" max="36" width="6.875" style="4" customWidth="1"/>
    <col min="37" max="37" width="15.75390625" style="4" customWidth="1"/>
    <col min="38" max="39" width="11.125" style="4" bestFit="1" customWidth="1"/>
    <col min="40" max="40" width="15.375" style="4" customWidth="1"/>
    <col min="41" max="41" width="13.75390625" style="4" customWidth="1"/>
    <col min="42" max="42" width="12.875" style="4" customWidth="1"/>
    <col min="43" max="43" width="14.125" style="4" bestFit="1" customWidth="1"/>
    <col min="44" max="44" width="14.125" style="4" customWidth="1"/>
    <col min="45" max="45" width="14.125" style="4" bestFit="1" customWidth="1"/>
    <col min="46" max="46" width="12.375" style="4" customWidth="1"/>
    <col min="47" max="47" width="11.125" style="4" bestFit="1" customWidth="1"/>
    <col min="48" max="48" width="15.125" style="4" bestFit="1" customWidth="1"/>
    <col min="49" max="49" width="11.125" style="4" bestFit="1" customWidth="1"/>
    <col min="50" max="50" width="12.375" style="4" customWidth="1"/>
    <col min="51" max="51" width="12.75390625" style="4" customWidth="1"/>
    <col min="52" max="52" width="12.25390625" style="4" customWidth="1"/>
    <col min="53" max="53" width="14.25390625" style="4" customWidth="1"/>
    <col min="54" max="55" width="14.125" style="4" customWidth="1"/>
    <col min="56" max="56" width="15.125" style="4" bestFit="1" customWidth="1"/>
    <col min="57" max="57" width="12.75390625" style="4" customWidth="1"/>
    <col min="58" max="58" width="12.25390625" style="4" customWidth="1"/>
    <col min="59" max="59" width="13.25390625" style="4" customWidth="1"/>
    <col min="60" max="61" width="11.125" style="4" bestFit="1" customWidth="1"/>
    <col min="62" max="62" width="15.25390625" style="4" customWidth="1"/>
    <col min="63" max="65" width="13.75390625" style="4" customWidth="1"/>
    <col min="66" max="67" width="12.375" style="4" bestFit="1" customWidth="1"/>
    <col min="68" max="68" width="13.125" style="4" bestFit="1" customWidth="1"/>
    <col min="69" max="69" width="14.00390625" style="4" customWidth="1"/>
    <col min="70" max="70" width="15.00390625" style="4" customWidth="1"/>
    <col min="71" max="71" width="13.875" style="4" customWidth="1"/>
    <col min="72" max="72" width="14.75390625" style="4" bestFit="1" customWidth="1"/>
    <col min="73" max="74" width="11.125" style="4" bestFit="1" customWidth="1"/>
    <col min="75" max="75" width="11.125" style="4" customWidth="1"/>
    <col min="76" max="78" width="11.125" style="4" bestFit="1" customWidth="1"/>
    <col min="79" max="80" width="11.125" style="4" customWidth="1"/>
    <col min="81" max="81" width="11.125" style="4" bestFit="1" customWidth="1"/>
    <col min="82" max="84" width="11.125" style="4" customWidth="1"/>
    <col min="85" max="16384" width="11.125" style="4" customWidth="1"/>
  </cols>
  <sheetData>
    <row r="1" spans="1:8" ht="19.5" customHeight="1">
      <c r="A1" s="6"/>
      <c r="B1" s="3"/>
      <c r="C1" s="3"/>
      <c r="G1" s="63"/>
      <c r="H1" s="63" t="s">
        <v>541</v>
      </c>
    </row>
    <row r="2" spans="1:8" ht="24.75" customHeight="1">
      <c r="A2" s="1188" t="s">
        <v>312</v>
      </c>
      <c r="B2" s="1188"/>
      <c r="C2" s="1188"/>
      <c r="D2" s="1240" t="s">
        <v>201</v>
      </c>
      <c r="E2" s="1241"/>
      <c r="F2" s="1241"/>
      <c r="G2" s="1241"/>
      <c r="H2" s="1242"/>
    </row>
    <row r="3" spans="1:8" ht="48" customHeight="1">
      <c r="A3" s="1190" t="s">
        <v>244</v>
      </c>
      <c r="B3" s="1188" t="s">
        <v>302</v>
      </c>
      <c r="C3" s="1188"/>
      <c r="D3" s="1238" t="s">
        <v>203</v>
      </c>
      <c r="E3" s="1238"/>
      <c r="F3" s="1238"/>
      <c r="G3" s="1238"/>
      <c r="H3" s="1184" t="s">
        <v>1458</v>
      </c>
    </row>
    <row r="4" spans="1:8" ht="27" customHeight="1">
      <c r="A4" s="1190"/>
      <c r="B4" s="1188" t="s">
        <v>12</v>
      </c>
      <c r="C4" s="1188"/>
      <c r="D4" s="1238" t="s">
        <v>280</v>
      </c>
      <c r="E4" s="1238" t="s">
        <v>397</v>
      </c>
      <c r="F4" s="1238" t="s">
        <v>282</v>
      </c>
      <c r="G4" s="1238" t="s">
        <v>301</v>
      </c>
      <c r="H4" s="1239"/>
    </row>
    <row r="5" spans="1:8" ht="25.5" customHeight="1">
      <c r="A5" s="1190"/>
      <c r="B5" s="1188" t="s">
        <v>1308</v>
      </c>
      <c r="C5" s="1188"/>
      <c r="D5" s="1238"/>
      <c r="E5" s="1238"/>
      <c r="F5" s="1238"/>
      <c r="G5" s="1238"/>
      <c r="H5" s="1239"/>
    </row>
    <row r="6" spans="1:8" ht="35.25" customHeight="1">
      <c r="A6" s="1190"/>
      <c r="B6" s="169" t="s">
        <v>245</v>
      </c>
      <c r="C6" s="170" t="s">
        <v>303</v>
      </c>
      <c r="D6" s="1238"/>
      <c r="E6" s="1238"/>
      <c r="F6" s="1238"/>
      <c r="G6" s="1238"/>
      <c r="H6" s="1185"/>
    </row>
    <row r="7" spans="1:8" ht="16.5" customHeight="1">
      <c r="A7" s="171" t="s">
        <v>246</v>
      </c>
      <c r="B7" s="172" t="s">
        <v>247</v>
      </c>
      <c r="C7" s="172" t="s">
        <v>248</v>
      </c>
      <c r="D7" s="172" t="s">
        <v>249</v>
      </c>
      <c r="E7" s="172" t="s">
        <v>250</v>
      </c>
      <c r="F7" s="172" t="s">
        <v>251</v>
      </c>
      <c r="G7" s="172" t="s">
        <v>252</v>
      </c>
      <c r="H7" s="172" t="s">
        <v>253</v>
      </c>
    </row>
    <row r="8" spans="1:10" ht="24.75" customHeight="1">
      <c r="A8" s="10" t="s">
        <v>246</v>
      </c>
      <c r="B8" s="170" t="s">
        <v>405</v>
      </c>
      <c r="C8" s="1" t="s">
        <v>257</v>
      </c>
      <c r="D8" s="8">
        <f>+'1. sz. Önkormányzat 2019. '!EJ8+'2.10. sz. Intézmények összesen'!D8</f>
        <v>1471362473</v>
      </c>
      <c r="E8" s="8">
        <f>+'1. sz. Önkormányzat 2019. '!EK8+'2.10. sz. Intézmények összesen'!E8</f>
        <v>86434452</v>
      </c>
      <c r="F8" s="8">
        <f>+'1. sz. Önkormányzat 2019. '!EL8+'2.10. sz. Intézmények összesen'!F8</f>
        <v>53829580</v>
      </c>
      <c r="G8" s="8">
        <f>+'1. sz. Önkormányzat 2019. '!EM8+'2.10. sz. Intézmények összesen'!G8</f>
        <v>1611626505</v>
      </c>
      <c r="H8" s="8">
        <f>'1. sz. Önkormányzat 2019. '!EN8</f>
        <v>0</v>
      </c>
      <c r="I8" s="28">
        <f>+D8+E8+F8</f>
        <v>1611626505</v>
      </c>
      <c r="J8" s="28">
        <f>+I8-G8</f>
        <v>0</v>
      </c>
    </row>
    <row r="9" spans="1:10" s="2" customFormat="1" ht="24.75" customHeight="1">
      <c r="A9" s="10" t="s">
        <v>247</v>
      </c>
      <c r="B9" s="173" t="s">
        <v>258</v>
      </c>
      <c r="C9" s="1" t="s">
        <v>259</v>
      </c>
      <c r="D9" s="8">
        <f>+'1. sz. Önkormányzat 2019. '!EJ9+'2.10. sz. Intézmények összesen'!D9</f>
        <v>320226615</v>
      </c>
      <c r="E9" s="8">
        <f>+'1. sz. Önkormányzat 2019. '!EK9+'2.10. sz. Intézmények összesen'!E9</f>
        <v>18037250</v>
      </c>
      <c r="F9" s="8">
        <f>+'1. sz. Önkormányzat 2019. '!EL9+'2.10. sz. Intézmények összesen'!F9</f>
        <v>11151831</v>
      </c>
      <c r="G9" s="8">
        <f>+'1. sz. Önkormányzat 2019. '!EM9+'2.10. sz. Intézmények összesen'!G9</f>
        <v>349415696</v>
      </c>
      <c r="H9" s="8">
        <f>'1. sz. Önkormányzat 2019. '!EN9</f>
        <v>0</v>
      </c>
      <c r="I9" s="28">
        <f aca="true" t="shared" si="0" ref="I9:I50">+D9+E9+F9</f>
        <v>349415696</v>
      </c>
      <c r="J9" s="28">
        <f aca="true" t="shared" si="1" ref="J9:J50">+I9-G9</f>
        <v>0</v>
      </c>
    </row>
    <row r="10" spans="1:12" ht="24.75" customHeight="1">
      <c r="A10" s="10" t="s">
        <v>248</v>
      </c>
      <c r="B10" s="173" t="s">
        <v>406</v>
      </c>
      <c r="C10" s="1" t="s">
        <v>260</v>
      </c>
      <c r="D10" s="8">
        <f>+'1. sz. Önkormányzat 2019. '!EJ10+'2.10. sz. Intézmények összesen'!D10</f>
        <v>1881843700</v>
      </c>
      <c r="E10" s="8">
        <f>+'1. sz. Önkormányzat 2019. '!EK10+'2.10. sz. Intézmények összesen'!E10</f>
        <v>248996558</v>
      </c>
      <c r="F10" s="8">
        <f>+'1. sz. Önkormányzat 2019. '!EL10+'2.10. sz. Intézmények összesen'!F10</f>
        <v>16846200</v>
      </c>
      <c r="G10" s="8">
        <f>+'1. sz. Önkormányzat 2019. '!EM10+'2.10. sz. Intézmények összesen'!G10</f>
        <v>2147686458</v>
      </c>
      <c r="H10" s="8">
        <f>'1. sz. Önkormányzat 2019. '!EN10</f>
        <v>12180711</v>
      </c>
      <c r="I10" s="28">
        <f t="shared" si="0"/>
        <v>2147686458</v>
      </c>
      <c r="J10" s="28">
        <f t="shared" si="1"/>
        <v>0</v>
      </c>
      <c r="K10" s="4">
        <v>2062760382</v>
      </c>
      <c r="L10" s="28">
        <f>+K10-G10</f>
        <v>-84926076</v>
      </c>
    </row>
    <row r="11" spans="1:12" ht="24.75" customHeight="1">
      <c r="A11" s="10" t="s">
        <v>249</v>
      </c>
      <c r="B11" s="174" t="s">
        <v>407</v>
      </c>
      <c r="C11" s="1" t="s">
        <v>261</v>
      </c>
      <c r="D11" s="8">
        <f>+'1. sz. Önkormányzat 2019. '!EJ11+'2.10. sz. Intézmények összesen'!D11</f>
        <v>37808938</v>
      </c>
      <c r="E11" s="8">
        <f>+'1. sz. Önkormányzat 2019. '!EK11+'2.10. sz. Intézmények összesen'!E11</f>
        <v>3000000</v>
      </c>
      <c r="F11" s="8">
        <f>+'1. sz. Önkormányzat 2019. '!EL11+'2.10. sz. Intézmények összesen'!F11</f>
        <v>1000000</v>
      </c>
      <c r="G11" s="8">
        <f>+'1. sz. Önkormányzat 2019. '!EM11+'2.10. sz. Intézmények összesen'!G11</f>
        <v>41808938</v>
      </c>
      <c r="H11" s="8">
        <f>'1. sz. Önkormányzat 2019. '!EN11</f>
        <v>0</v>
      </c>
      <c r="I11" s="28">
        <f t="shared" si="0"/>
        <v>41808938</v>
      </c>
      <c r="J11" s="28">
        <f t="shared" si="1"/>
        <v>0</v>
      </c>
      <c r="K11" s="4">
        <v>43456000</v>
      </c>
      <c r="L11" s="28">
        <f>+K11-G11</f>
        <v>1647062</v>
      </c>
    </row>
    <row r="12" spans="1:12" ht="24.75" customHeight="1">
      <c r="A12" s="10" t="s">
        <v>250</v>
      </c>
      <c r="B12" s="174" t="s">
        <v>292</v>
      </c>
      <c r="C12" s="1" t="s">
        <v>262</v>
      </c>
      <c r="D12" s="8">
        <f>+'1. sz. Önkormányzat 2019. '!EJ12+'2.10. sz. Intézmények összesen'!D12</f>
        <v>1253670341</v>
      </c>
      <c r="E12" s="8">
        <f>+'1. sz. Önkormányzat 2019. '!EK12+'2.10. sz. Intézmények összesen'!E12</f>
        <v>167605368</v>
      </c>
      <c r="F12" s="8">
        <f>+'1. sz. Önkormányzat 2019. '!EL12+'2.10. sz. Intézmények összesen'!F12</f>
        <v>0</v>
      </c>
      <c r="G12" s="8">
        <f>+'1. sz. Önkormányzat 2019. '!EM12+'2.10. sz. Intézmények összesen'!G12</f>
        <v>1421275709</v>
      </c>
      <c r="H12" s="8">
        <f>'1. sz. Önkormányzat 2019. '!EN12</f>
        <v>0</v>
      </c>
      <c r="I12" s="28">
        <f t="shared" si="0"/>
        <v>1421275709</v>
      </c>
      <c r="J12" s="28">
        <f t="shared" si="1"/>
        <v>0</v>
      </c>
      <c r="L12" s="28"/>
    </row>
    <row r="13" spans="1:12" ht="24.75" customHeight="1">
      <c r="A13" s="10" t="s">
        <v>251</v>
      </c>
      <c r="B13" s="175" t="s">
        <v>159</v>
      </c>
      <c r="C13" s="1"/>
      <c r="D13" s="8">
        <f>+'1. sz. Önkormányzat 2019. '!EJ13+'2.10. sz. Intézmények összesen'!D13</f>
        <v>79656000</v>
      </c>
      <c r="E13" s="8">
        <f>+'1. sz. Önkormányzat 2019. '!EK13+'2.10. sz. Intézmények összesen'!E13</f>
        <v>167605368</v>
      </c>
      <c r="F13" s="8">
        <f>+'1. sz. Önkormányzat 2019. '!EL13+'2.10. sz. Intézmények összesen'!F13</f>
        <v>0</v>
      </c>
      <c r="G13" s="8">
        <f>+'1. sz. Önkormányzat 2019. '!EM13+'2.10. sz. Intézmények összesen'!G13</f>
        <v>247261368</v>
      </c>
      <c r="H13" s="8">
        <f>'1. sz. Önkormányzat 2019. '!EN13</f>
        <v>0</v>
      </c>
      <c r="I13" s="28">
        <f t="shared" si="0"/>
        <v>247261368</v>
      </c>
      <c r="J13" s="28">
        <f t="shared" si="1"/>
        <v>0</v>
      </c>
      <c r="L13" s="28"/>
    </row>
    <row r="14" spans="1:12" s="32" customFormat="1" ht="24.75" customHeight="1">
      <c r="A14" s="10" t="s">
        <v>252</v>
      </c>
      <c r="B14" s="175" t="s">
        <v>148</v>
      </c>
      <c r="C14" s="30"/>
      <c r="D14" s="8">
        <f>+'1. sz. Önkormányzat 2019. '!EJ14+'2.10. sz. Intézmények összesen'!D14</f>
        <v>818887716</v>
      </c>
      <c r="E14" s="8">
        <f>+'1. sz. Önkormányzat 2019. '!EK14+'2.10. sz. Intézmények összesen'!E14</f>
        <v>0</v>
      </c>
      <c r="F14" s="8">
        <f>+'1. sz. Önkormányzat 2019. '!EL14+'2.10. sz. Intézmények összesen'!F14</f>
        <v>0</v>
      </c>
      <c r="G14" s="8">
        <f>+'1. sz. Önkormányzat 2019. '!EM14+'2.10. sz. Intézmények összesen'!G14</f>
        <v>818887716</v>
      </c>
      <c r="H14" s="8">
        <f>'1. sz. Önkormányzat 2019. '!EN14</f>
        <v>0</v>
      </c>
      <c r="I14" s="28">
        <f t="shared" si="0"/>
        <v>818887716</v>
      </c>
      <c r="J14" s="28">
        <f t="shared" si="1"/>
        <v>0</v>
      </c>
      <c r="L14" s="28"/>
    </row>
    <row r="15" spans="1:12" s="32" customFormat="1" ht="24.75" customHeight="1">
      <c r="A15" s="10" t="s">
        <v>253</v>
      </c>
      <c r="B15" s="175" t="s">
        <v>738</v>
      </c>
      <c r="C15" s="30"/>
      <c r="D15" s="8">
        <f>+'1. sz. Önkormányzat 2019. '!EJ15+'2.10. sz. Intézmények összesen'!D15</f>
        <v>355126625</v>
      </c>
      <c r="E15" s="8">
        <f>+'1. sz. Önkormányzat 2019. '!EK15+'2.10. sz. Intézmények összesen'!E15</f>
        <v>0</v>
      </c>
      <c r="F15" s="8">
        <f>+'1. sz. Önkormányzat 2019. '!EL15+'2.10. sz. Intézmények összesen'!F15</f>
        <v>0</v>
      </c>
      <c r="G15" s="8">
        <f>+'1. sz. Önkormányzat 2019. '!EM15+'2.10. sz. Intézmények összesen'!G15</f>
        <v>355126625</v>
      </c>
      <c r="H15" s="8">
        <f>'1. sz. Önkormányzat 2019. '!EN15</f>
        <v>0</v>
      </c>
      <c r="I15" s="28">
        <f t="shared" si="0"/>
        <v>355126625</v>
      </c>
      <c r="J15" s="28">
        <f t="shared" si="1"/>
        <v>0</v>
      </c>
      <c r="L15" s="28"/>
    </row>
    <row r="16" spans="1:12" s="2" customFormat="1" ht="24.75" customHeight="1">
      <c r="A16" s="10" t="s">
        <v>254</v>
      </c>
      <c r="B16" s="176" t="s">
        <v>299</v>
      </c>
      <c r="C16" s="1" t="s">
        <v>263</v>
      </c>
      <c r="D16" s="8">
        <f>+'1. sz. Önkormányzat 2019. '!EJ16+'2.10. sz. Intézmények összesen'!D16</f>
        <v>1504244585.8976378</v>
      </c>
      <c r="E16" s="8">
        <f>+'1. sz. Önkormányzat 2019. '!EK16+'2.10. sz. Intézmények összesen'!E16</f>
        <v>31765447</v>
      </c>
      <c r="F16" s="8">
        <f>+'1. sz. Önkormányzat 2019. '!EL16+'2.10. sz. Intézmények összesen'!F16</f>
        <v>571500</v>
      </c>
      <c r="G16" s="8">
        <f>+'1. sz. Önkormányzat 2019. '!EM16+'2.10. sz. Intézmények összesen'!G16</f>
        <v>1536581532.8976378</v>
      </c>
      <c r="H16" s="8">
        <f>'1. sz. Önkormányzat 2019. '!EN16</f>
        <v>56678745</v>
      </c>
      <c r="I16" s="28">
        <f t="shared" si="0"/>
        <v>1536581532.8976378</v>
      </c>
      <c r="J16" s="28">
        <f t="shared" si="1"/>
        <v>0</v>
      </c>
      <c r="K16" s="2">
        <v>1397933516</v>
      </c>
      <c r="L16" s="28">
        <f>+K16-G16</f>
        <v>-138648016.89763784</v>
      </c>
    </row>
    <row r="17" spans="1:12" s="2" customFormat="1" ht="24.75" customHeight="1">
      <c r="A17" s="10" t="s">
        <v>255</v>
      </c>
      <c r="B17" s="174" t="s">
        <v>408</v>
      </c>
      <c r="C17" s="1" t="s">
        <v>264</v>
      </c>
      <c r="D17" s="8">
        <f>+'1. sz. Önkormányzat 2019. '!EJ17+'2.10. sz. Intézmények összesen'!D17</f>
        <v>606644854</v>
      </c>
      <c r="E17" s="8">
        <f>+'1. sz. Önkormányzat 2019. '!EK17+'2.10. sz. Intézmények összesen'!E17</f>
        <v>0</v>
      </c>
      <c r="F17" s="8">
        <f>+'1. sz. Önkormányzat 2019. '!EL17+'2.10. sz. Intézmények összesen'!F17</f>
        <v>0</v>
      </c>
      <c r="G17" s="8">
        <f>+'1. sz. Önkormányzat 2019. '!EM17+'2.10. sz. Intézmények összesen'!G17</f>
        <v>606644854</v>
      </c>
      <c r="H17" s="8">
        <f>'1. sz. Önkormányzat 2019. '!EN17</f>
        <v>0</v>
      </c>
      <c r="I17" s="28">
        <f t="shared" si="0"/>
        <v>606644854</v>
      </c>
      <c r="J17" s="28">
        <f t="shared" si="1"/>
        <v>0</v>
      </c>
      <c r="K17" s="2">
        <v>475600396</v>
      </c>
      <c r="L17" s="28">
        <f>+K17-G17</f>
        <v>-131044458</v>
      </c>
    </row>
    <row r="18" spans="1:12" ht="24.75" customHeight="1">
      <c r="A18" s="10" t="s">
        <v>256</v>
      </c>
      <c r="B18" s="174" t="s">
        <v>293</v>
      </c>
      <c r="C18" s="1" t="s">
        <v>265</v>
      </c>
      <c r="D18" s="8">
        <f>+'1. sz. Önkormányzat 2019. '!EJ18+'2.10. sz. Intézmények összesen'!D18</f>
        <v>5000000</v>
      </c>
      <c r="E18" s="8">
        <f>+'1. sz. Önkormányzat 2019. '!EK18+'2.10. sz. Intézmények összesen'!E18</f>
        <v>51206500</v>
      </c>
      <c r="F18" s="8">
        <f>+'1. sz. Önkormányzat 2019. '!EL18+'2.10. sz. Intézmények összesen'!F18</f>
        <v>0</v>
      </c>
      <c r="G18" s="8">
        <f>+'1. sz. Önkormányzat 2019. '!EM18+'2.10. sz. Intézmények összesen'!G18</f>
        <v>56206500</v>
      </c>
      <c r="H18" s="8">
        <f>'1. sz. Önkormányzat 2019. '!EN18</f>
        <v>0</v>
      </c>
      <c r="I18" s="28">
        <f t="shared" si="0"/>
        <v>56206500</v>
      </c>
      <c r="J18" s="28">
        <f t="shared" si="1"/>
        <v>0</v>
      </c>
      <c r="L18" s="28">
        <f>SUM(L10:L17)</f>
        <v>-352971488.89763784</v>
      </c>
    </row>
    <row r="19" spans="1:12" ht="24.75" customHeight="1">
      <c r="A19" s="10" t="s">
        <v>283</v>
      </c>
      <c r="B19" s="175" t="s">
        <v>158</v>
      </c>
      <c r="C19" s="1"/>
      <c r="D19" s="8">
        <f>+'1. sz. Önkormányzat 2019. '!EJ19+'2.10. sz. Intézmények összesen'!D19</f>
        <v>5000000</v>
      </c>
      <c r="E19" s="8">
        <f>+'1. sz. Önkormányzat 2019. '!EK19+'2.10. sz. Intézmények összesen'!E19</f>
        <v>51206500</v>
      </c>
      <c r="F19" s="8">
        <f>+'1. sz. Önkormányzat 2019. '!EL19+'2.10. sz. Intézmények összesen'!F19</f>
        <v>0</v>
      </c>
      <c r="G19" s="8">
        <f>+'1. sz. Önkormányzat 2019. '!EM19+'2.10. sz. Intézmények összesen'!G19</f>
        <v>56206500</v>
      </c>
      <c r="H19" s="8">
        <f>'1. sz. Önkormányzat 2019. '!EN19</f>
        <v>0</v>
      </c>
      <c r="I19" s="28">
        <f t="shared" si="0"/>
        <v>56206500</v>
      </c>
      <c r="J19" s="28">
        <f t="shared" si="1"/>
        <v>0</v>
      </c>
      <c r="L19" s="4">
        <f>+H54</f>
        <v>172417931</v>
      </c>
    </row>
    <row r="20" spans="1:12" s="2" customFormat="1" ht="24.75" customHeight="1">
      <c r="A20" s="10" t="s">
        <v>284</v>
      </c>
      <c r="B20" s="176" t="s">
        <v>294</v>
      </c>
      <c r="C20" s="1" t="s">
        <v>266</v>
      </c>
      <c r="D20" s="9">
        <f>+'1. sz. Önkormányzat 2019. '!EJ20+'2.10. sz. Intézmények összesen'!D20</f>
        <v>7080801506.897638</v>
      </c>
      <c r="E20" s="9">
        <f>+'1. sz. Önkormányzat 2019. '!EK20+'2.10. sz. Intézmények összesen'!E20</f>
        <v>607045575</v>
      </c>
      <c r="F20" s="9">
        <f>+'1. sz. Önkormányzat 2019. '!EL20+'2.10. sz. Intézmények összesen'!F20</f>
        <v>83399111</v>
      </c>
      <c r="G20" s="9">
        <f>+'1. sz. Önkormányzat 2019. '!EM20+'2.10. sz. Intézmények összesen'!G20</f>
        <v>7771246192.897638</v>
      </c>
      <c r="H20" s="8">
        <f>'1. sz. Önkormányzat 2019. '!EN20</f>
        <v>68859456</v>
      </c>
      <c r="I20" s="28">
        <f t="shared" si="0"/>
        <v>7771246192.897638</v>
      </c>
      <c r="J20" s="28">
        <f t="shared" si="1"/>
        <v>0</v>
      </c>
      <c r="K20" s="2">
        <v>7044211421</v>
      </c>
      <c r="L20" s="504">
        <f>+L19+L18</f>
        <v>-180553557.89763784</v>
      </c>
    </row>
    <row r="21" spans="1:11" s="2" customFormat="1" ht="24.75" customHeight="1">
      <c r="A21" s="10" t="s">
        <v>285</v>
      </c>
      <c r="B21" s="176" t="s">
        <v>279</v>
      </c>
      <c r="C21" s="1" t="s">
        <v>275</v>
      </c>
      <c r="D21" s="8">
        <f>+'1. sz. Önkormányzat 2019. '!EJ21+'2.10. sz. Intézmények összesen'!D21</f>
        <v>2380186856</v>
      </c>
      <c r="E21" s="8">
        <f>+'1. sz. Önkormányzat 2019. '!EK21+'2.10. sz. Intézmények összesen'!E21</f>
        <v>1534768788</v>
      </c>
      <c r="F21" s="8">
        <f>+'1. sz. Önkormányzat 2019. '!EL21+'2.10. sz. Intézmények összesen'!F21</f>
        <v>0</v>
      </c>
      <c r="G21" s="8">
        <f>+'1. sz. Önkormányzat 2019. '!EM21+'2.10. sz. Intézmények összesen'!G21</f>
        <v>3914955644</v>
      </c>
      <c r="H21" s="8">
        <f>'1. sz. Önkormányzat 2019. '!EN21</f>
        <v>0</v>
      </c>
      <c r="I21" s="28">
        <f t="shared" si="0"/>
        <v>3914955644</v>
      </c>
      <c r="J21" s="28">
        <f t="shared" si="1"/>
        <v>0</v>
      </c>
      <c r="K21" s="504">
        <f>+K20-G20</f>
        <v>-727034771.8976383</v>
      </c>
    </row>
    <row r="22" spans="1:10" s="31" customFormat="1" ht="39" customHeight="1">
      <c r="A22" s="10" t="s">
        <v>286</v>
      </c>
      <c r="B22" s="53" t="s">
        <v>233</v>
      </c>
      <c r="C22" s="30"/>
      <c r="D22" s="8">
        <f>+'1. sz. Önkormányzat 2019. '!EJ22+'2.10. sz. Intézmények összesen'!D22</f>
        <v>0</v>
      </c>
      <c r="E22" s="8">
        <f>+'1. sz. Önkormányzat 2019. '!EK22+'2.10. sz. Intézmények összesen'!E22</f>
        <v>3056266</v>
      </c>
      <c r="F22" s="8">
        <f>+'1. sz. Önkormányzat 2019. '!EL22+'2.10. sz. Intézmények összesen'!F22</f>
        <v>0</v>
      </c>
      <c r="G22" s="8">
        <f>+'1. sz. Önkormányzat 2019. '!EM22+'2.10. sz. Intézmények összesen'!G22</f>
        <v>3056266</v>
      </c>
      <c r="H22" s="8">
        <f>'1. sz. Önkormányzat 2019. '!EN22</f>
        <v>0</v>
      </c>
      <c r="I22" s="28">
        <f t="shared" si="0"/>
        <v>3056266</v>
      </c>
      <c r="J22" s="28">
        <f t="shared" si="1"/>
        <v>0</v>
      </c>
    </row>
    <row r="23" spans="1:10" s="31" customFormat="1" ht="24.75" customHeight="1">
      <c r="A23" s="10" t="s">
        <v>287</v>
      </c>
      <c r="B23" s="177" t="s">
        <v>741</v>
      </c>
      <c r="C23" s="30"/>
      <c r="D23" s="8">
        <f>+'1. sz. Önkormányzat 2019. '!EJ23+'2.10. sz. Intézmények összesen'!D23</f>
        <v>2316822077</v>
      </c>
      <c r="E23" s="8">
        <f>+'1. sz. Önkormányzat 2019. '!EK23+'2.10. sz. Intézmények összesen'!E23</f>
        <v>0</v>
      </c>
      <c r="F23" s="8">
        <f>+'1. sz. Önkormányzat 2019. '!EL23+'2.10. sz. Intézmények összesen'!F23</f>
        <v>0</v>
      </c>
      <c r="G23" s="8">
        <f>+'1. sz. Önkormányzat 2019. '!EM23+'2.10. sz. Intézmények összesen'!G23</f>
        <v>2316822077</v>
      </c>
      <c r="H23" s="8">
        <f>'1. sz. Önkormányzat 2019. '!EN23</f>
        <v>0</v>
      </c>
      <c r="I23" s="28">
        <f t="shared" si="0"/>
        <v>2316822077</v>
      </c>
      <c r="J23" s="28">
        <f t="shared" si="1"/>
        <v>0</v>
      </c>
    </row>
    <row r="24" spans="1:10" s="31" customFormat="1" ht="24.75" customHeight="1">
      <c r="A24" s="10" t="s">
        <v>288</v>
      </c>
      <c r="B24" s="177" t="s">
        <v>742</v>
      </c>
      <c r="C24" s="30"/>
      <c r="D24" s="8">
        <f>+'1. sz. Önkormányzat 2019. '!EJ24+'2.10. sz. Intézmények összesen'!D24</f>
        <v>63364779</v>
      </c>
      <c r="E24" s="8">
        <f>+'1. sz. Önkormányzat 2019. '!EK24+'2.10. sz. Intézmények összesen'!E24</f>
        <v>0</v>
      </c>
      <c r="F24" s="8">
        <f>+'1. sz. Önkormányzat 2019. '!EL24+'2.10. sz. Intézmények összesen'!F24</f>
        <v>0</v>
      </c>
      <c r="G24" s="8">
        <f>+'1. sz. Önkormányzat 2019. '!EM24+'2.10. sz. Intézmények összesen'!G24</f>
        <v>63364779</v>
      </c>
      <c r="H24" s="8">
        <f>'1. sz. Önkormányzat 2019. '!EN24</f>
        <v>0</v>
      </c>
      <c r="I24" s="28">
        <f t="shared" si="0"/>
        <v>63364779</v>
      </c>
      <c r="J24" s="28">
        <f t="shared" si="1"/>
        <v>0</v>
      </c>
    </row>
    <row r="25" spans="1:10" s="31" customFormat="1" ht="24.75" customHeight="1">
      <c r="A25" s="10" t="s">
        <v>289</v>
      </c>
      <c r="B25" s="177" t="s">
        <v>160</v>
      </c>
      <c r="C25" s="30"/>
      <c r="D25" s="8">
        <f>+'1. sz. Önkormányzat 2019. '!EJ25+'2.10. sz. Intézmények összesen'!D25</f>
        <v>0</v>
      </c>
      <c r="E25" s="8">
        <f>+'1. sz. Önkormányzat 2019. '!EK25+'2.10. sz. Intézmények összesen'!E25</f>
        <v>31712522</v>
      </c>
      <c r="F25" s="8">
        <f>+'1. sz. Önkormányzat 2019. '!EL25+'2.10. sz. Intézmények összesen'!F25</f>
        <v>0</v>
      </c>
      <c r="G25" s="8">
        <f>+'1. sz. Önkormányzat 2019. '!EM25+'2.10. sz. Intézmények összesen'!G25</f>
        <v>31712522</v>
      </c>
      <c r="H25" s="8">
        <f>'1. sz. Önkormányzat 2019. '!EN25</f>
        <v>0</v>
      </c>
      <c r="I25" s="28">
        <f t="shared" si="0"/>
        <v>31712522</v>
      </c>
      <c r="J25" s="28">
        <f t="shared" si="1"/>
        <v>0</v>
      </c>
    </row>
    <row r="26" spans="1:10" s="31" customFormat="1" ht="24.75" customHeight="1">
      <c r="A26" s="10" t="s">
        <v>290</v>
      </c>
      <c r="B26" s="510" t="s">
        <v>1408</v>
      </c>
      <c r="C26" s="30"/>
      <c r="D26" s="8">
        <f>+'1. sz. Önkormányzat 2019. '!EJ26+'2.10. sz. Intézmények összesen'!D26</f>
        <v>0</v>
      </c>
      <c r="E26" s="8">
        <f>+'1. sz. Önkormányzat 2019. '!EK26+'2.10. sz. Intézmények összesen'!E26</f>
        <v>1500000000</v>
      </c>
      <c r="F26" s="8">
        <f>+'1. sz. Önkormányzat 2019. '!EL26+'2.10. sz. Intézmények összesen'!F26</f>
        <v>0</v>
      </c>
      <c r="G26" s="8">
        <f>+'1. sz. Önkormányzat 2019. '!EM26+'2.10. sz. Intézmények összesen'!G26</f>
        <v>1500000000</v>
      </c>
      <c r="H26" s="8"/>
      <c r="I26" s="28"/>
      <c r="J26" s="28"/>
    </row>
    <row r="27" spans="1:10" s="2" customFormat="1" ht="24.75" customHeight="1">
      <c r="A27" s="10" t="s">
        <v>291</v>
      </c>
      <c r="B27" s="90" t="s">
        <v>33</v>
      </c>
      <c r="C27" s="1"/>
      <c r="D27" s="9">
        <f>+'1. sz. Önkormányzat 2019. '!EJ27+'2.10. sz. Intézmények összesen'!D27</f>
        <v>7281734144</v>
      </c>
      <c r="E27" s="9">
        <f>+'1. sz. Önkormányzat 2019. '!EK27+'2.10. sz. Intézmények összesen'!E27</f>
        <v>2027129894</v>
      </c>
      <c r="F27" s="9">
        <f>+'1. sz. Önkormányzat 2019. '!EL27+'2.10. sz. Intézmények összesen'!F27</f>
        <v>82827611</v>
      </c>
      <c r="G27" s="9">
        <f>+'1. sz. Önkormányzat 2019. '!EM27+'2.10. sz. Intézmények összesen'!G27</f>
        <v>9391691649</v>
      </c>
      <c r="H27" s="8">
        <f>'1. sz. Önkormányzat 2019. '!EN27</f>
        <v>12180711</v>
      </c>
      <c r="I27" s="28">
        <f t="shared" si="0"/>
        <v>9391691649</v>
      </c>
      <c r="J27" s="28">
        <f t="shared" si="1"/>
        <v>0</v>
      </c>
    </row>
    <row r="28" spans="1:10" s="2" customFormat="1" ht="24.75" customHeight="1">
      <c r="A28" s="10" t="s">
        <v>322</v>
      </c>
      <c r="B28" s="90" t="s">
        <v>34</v>
      </c>
      <c r="C28" s="1"/>
      <c r="D28" s="9">
        <f>+'1. sz. Önkormányzat 2019. '!EJ28+'2.10. sz. Intézmények összesen'!D28</f>
        <v>2179254218.897638</v>
      </c>
      <c r="E28" s="9">
        <f>+'1. sz. Önkormányzat 2019. '!EK28+'2.10. sz. Intézmények összesen'!E28</f>
        <v>114684469</v>
      </c>
      <c r="F28" s="9">
        <f>+'1. sz. Önkormányzat 2019. '!EL28+'2.10. sz. Intézmények összesen'!F28</f>
        <v>571500</v>
      </c>
      <c r="G28" s="9">
        <f>+'1. sz. Önkormányzat 2019. '!EM28+'2.10. sz. Intézmények összesen'!G28</f>
        <v>2294510187.897638</v>
      </c>
      <c r="H28" s="8">
        <f>'1. sz. Önkormányzat 2019. '!EN28</f>
        <v>56678745</v>
      </c>
      <c r="I28" s="28">
        <f t="shared" si="0"/>
        <v>2294510187.897638</v>
      </c>
      <c r="J28" s="28">
        <f t="shared" si="1"/>
        <v>0</v>
      </c>
    </row>
    <row r="29" spans="1:11" s="2" customFormat="1" ht="24.75" customHeight="1">
      <c r="A29" s="10" t="s">
        <v>323</v>
      </c>
      <c r="B29" s="90" t="s">
        <v>398</v>
      </c>
      <c r="C29" s="1" t="s">
        <v>32</v>
      </c>
      <c r="D29" s="9">
        <f>+'1. sz. Önkormányzat 2019. '!EJ29+'2.10. sz. Intézmények összesen'!D29</f>
        <v>9460988362.897638</v>
      </c>
      <c r="E29" s="9">
        <f>+'1. sz. Önkormányzat 2019. '!EK29+'2.10. sz. Intézmények összesen'!E29</f>
        <v>2141814363</v>
      </c>
      <c r="F29" s="9">
        <f>+'1. sz. Önkormányzat 2019. '!EL29+'2.10. sz. Intézmények összesen'!F29</f>
        <v>83399111</v>
      </c>
      <c r="G29" s="9">
        <f>+'1. sz. Önkormányzat 2019. '!EM29+'2.10. sz. Intézmények összesen'!G29</f>
        <v>11686201836.897638</v>
      </c>
      <c r="H29" s="8">
        <f>'1. sz. Önkormányzat 2019. '!EN29</f>
        <v>68859456</v>
      </c>
      <c r="I29" s="28">
        <f t="shared" si="0"/>
        <v>11686201836.897638</v>
      </c>
      <c r="J29" s="28">
        <f t="shared" si="1"/>
        <v>0</v>
      </c>
      <c r="K29" s="939">
        <v>9449005090</v>
      </c>
    </row>
    <row r="30" spans="1:11" ht="24.75" customHeight="1">
      <c r="A30" s="10" t="s">
        <v>324</v>
      </c>
      <c r="B30" s="173" t="s">
        <v>54</v>
      </c>
      <c r="C30" s="176" t="s">
        <v>267</v>
      </c>
      <c r="D30" s="8">
        <f>+'1. sz. Önkormányzat 2019. '!EJ30+'2.10. sz. Intézmények összesen'!D30</f>
        <v>864726144</v>
      </c>
      <c r="E30" s="8">
        <f>+'1. sz. Önkormányzat 2019. '!EK30+'2.10. sz. Intézmények összesen'!E30</f>
        <v>0</v>
      </c>
      <c r="F30" s="8">
        <f>+'1. sz. Önkormányzat 2019. '!EL30+'2.10. sz. Intézmények összesen'!F30</f>
        <v>0</v>
      </c>
      <c r="G30" s="8">
        <f>+'1. sz. Önkormányzat 2019. '!EM30+'2.10. sz. Intézmények összesen'!G30</f>
        <v>864726144</v>
      </c>
      <c r="H30" s="8">
        <f>'1. sz. Önkormányzat 2019. '!EN30</f>
        <v>0</v>
      </c>
      <c r="I30" s="28">
        <f t="shared" si="0"/>
        <v>864726144</v>
      </c>
      <c r="J30" s="28">
        <f t="shared" si="1"/>
        <v>0</v>
      </c>
      <c r="K30" s="28">
        <f>+K29-G29</f>
        <v>-2237196746.8976383</v>
      </c>
    </row>
    <row r="31" spans="1:10" ht="24.75" customHeight="1">
      <c r="A31" s="10" t="s">
        <v>325</v>
      </c>
      <c r="B31" s="173" t="s">
        <v>278</v>
      </c>
      <c r="C31" s="176" t="s">
        <v>268</v>
      </c>
      <c r="D31" s="8">
        <f>+'1. sz. Önkormányzat 2019. '!EJ31+'2.10. sz. Intézmények összesen'!D31</f>
        <v>228365963</v>
      </c>
      <c r="E31" s="8">
        <f>+'1. sz. Önkormányzat 2019. '!EK31+'2.10. sz. Intézmények összesen'!E31</f>
        <v>0</v>
      </c>
      <c r="F31" s="8">
        <f>+'1. sz. Önkormányzat 2019. '!EL31+'2.10. sz. Intézmények összesen'!F31</f>
        <v>0</v>
      </c>
      <c r="G31" s="8">
        <f>+'1. sz. Önkormányzat 2019. '!EM31+'2.10. sz. Intézmények összesen'!G31</f>
        <v>228365963</v>
      </c>
      <c r="H31" s="8">
        <f>'1. sz. Önkormányzat 2019. '!EN31</f>
        <v>0</v>
      </c>
      <c r="I31" s="28">
        <f t="shared" si="0"/>
        <v>228365963</v>
      </c>
      <c r="J31" s="28">
        <f t="shared" si="1"/>
        <v>0</v>
      </c>
    </row>
    <row r="32" spans="1:10" ht="24.75" customHeight="1">
      <c r="A32" s="10" t="s">
        <v>326</v>
      </c>
      <c r="B32" s="173" t="s">
        <v>277</v>
      </c>
      <c r="C32" s="176" t="s">
        <v>269</v>
      </c>
      <c r="D32" s="8">
        <f>+'1. sz. Önkormányzat 2019. '!EJ32+'2.10. sz. Intézmények összesen'!D32</f>
        <v>3781548198</v>
      </c>
      <c r="E32" s="8">
        <f>+'1. sz. Önkormányzat 2019. '!EK32+'2.10. sz. Intézmények összesen'!E32</f>
        <v>0</v>
      </c>
      <c r="F32" s="8">
        <f>+'1. sz. Önkormányzat 2019. '!EL32+'2.10. sz. Intézmények összesen'!F32</f>
        <v>1262581</v>
      </c>
      <c r="G32" s="8">
        <f>+'1. sz. Önkormányzat 2019. '!EM32+'2.10. sz. Intézmények összesen'!G32</f>
        <v>3782810779</v>
      </c>
      <c r="H32" s="8">
        <f>'1. sz. Önkormányzat 2019. '!EN32</f>
        <v>0</v>
      </c>
      <c r="I32" s="28">
        <f t="shared" si="0"/>
        <v>3782810779</v>
      </c>
      <c r="J32" s="28">
        <f t="shared" si="1"/>
        <v>0</v>
      </c>
    </row>
    <row r="33" spans="1:10" ht="24.75" customHeight="1">
      <c r="A33" s="10" t="s">
        <v>327</v>
      </c>
      <c r="B33" s="174" t="s">
        <v>0</v>
      </c>
      <c r="C33" s="176" t="s">
        <v>270</v>
      </c>
      <c r="D33" s="8">
        <f>+'1. sz. Önkormányzat 2019. '!EJ33+'2.10. sz. Intézmények összesen'!D33</f>
        <v>414683282</v>
      </c>
      <c r="E33" s="8">
        <f>+'1. sz. Önkormányzat 2019. '!EK33+'2.10. sz. Intézmények összesen'!E33</f>
        <v>40698600</v>
      </c>
      <c r="F33" s="8">
        <f>+'1. sz. Önkormányzat 2019. '!EL33+'2.10. sz. Intézmények összesen'!F33</f>
        <v>1245387</v>
      </c>
      <c r="G33" s="8">
        <f>+'1. sz. Önkormányzat 2019. '!EM33+'2.10. sz. Intézmények összesen'!G33</f>
        <v>456627269</v>
      </c>
      <c r="H33" s="8">
        <f>'1. sz. Önkormányzat 2019. '!EN33</f>
        <v>0</v>
      </c>
      <c r="I33" s="28">
        <f t="shared" si="0"/>
        <v>456627269</v>
      </c>
      <c r="J33" s="28">
        <f t="shared" si="1"/>
        <v>0</v>
      </c>
    </row>
    <row r="34" spans="1:10" ht="24.75" customHeight="1">
      <c r="A34" s="10" t="s">
        <v>328</v>
      </c>
      <c r="B34" s="173" t="s">
        <v>300</v>
      </c>
      <c r="C34" s="176" t="s">
        <v>271</v>
      </c>
      <c r="D34" s="8">
        <f>+'1. sz. Önkormányzat 2019. '!EJ34+'2.10. sz. Intézmények összesen'!D34</f>
        <v>40000000</v>
      </c>
      <c r="E34" s="8">
        <f>+'1. sz. Önkormányzat 2019. '!EK34+'2.10. sz. Intézmények összesen'!E34</f>
        <v>60000000</v>
      </c>
      <c r="F34" s="8">
        <f>+'1. sz. Önkormányzat 2019. '!EL34+'2.10. sz. Intézmények összesen'!F34</f>
        <v>0</v>
      </c>
      <c r="G34" s="8">
        <f>+'1. sz. Önkormányzat 2019. '!EM34+'2.10. sz. Intézmények összesen'!G34</f>
        <v>100000000</v>
      </c>
      <c r="H34" s="8">
        <f>'1. sz. Önkormányzat 2019. '!EN34</f>
        <v>0</v>
      </c>
      <c r="I34" s="28">
        <f t="shared" si="0"/>
        <v>100000000</v>
      </c>
      <c r="J34" s="28">
        <f t="shared" si="1"/>
        <v>0</v>
      </c>
    </row>
    <row r="35" spans="1:10" ht="24.75" customHeight="1">
      <c r="A35" s="10" t="s">
        <v>329</v>
      </c>
      <c r="B35" s="173" t="s">
        <v>295</v>
      </c>
      <c r="C35" s="176" t="s">
        <v>272</v>
      </c>
      <c r="D35" s="8">
        <f>+'1. sz. Önkormányzat 2019. '!EJ35+'2.10. sz. Intézmények összesen'!D35</f>
        <v>9040000</v>
      </c>
      <c r="E35" s="8">
        <f>+'1. sz. Önkormányzat 2019. '!EK35+'2.10. sz. Intézmények összesen'!E35</f>
        <v>0</v>
      </c>
      <c r="F35" s="8">
        <f>+'1. sz. Önkormányzat 2019. '!EL35+'2.10. sz. Intézmények összesen'!F35</f>
        <v>0</v>
      </c>
      <c r="G35" s="8">
        <f>+'1. sz. Önkormányzat 2019. '!EM35+'2.10. sz. Intézmények összesen'!G35</f>
        <v>9040000</v>
      </c>
      <c r="H35" s="8">
        <f>'1. sz. Önkormányzat 2019. '!EN35</f>
        <v>0</v>
      </c>
      <c r="I35" s="28">
        <f t="shared" si="0"/>
        <v>9040000</v>
      </c>
      <c r="J35" s="28">
        <f t="shared" si="1"/>
        <v>0</v>
      </c>
    </row>
    <row r="36" spans="1:10" ht="24.75" customHeight="1">
      <c r="A36" s="10" t="s">
        <v>330</v>
      </c>
      <c r="B36" s="173" t="s">
        <v>296</v>
      </c>
      <c r="C36" s="176" t="s">
        <v>273</v>
      </c>
      <c r="D36" s="8">
        <f>+'1. sz. Önkormányzat 2019. '!EJ36+'2.10. sz. Intézmények összesen'!D36</f>
        <v>167231320</v>
      </c>
      <c r="E36" s="8">
        <f>+'1. sz. Önkormányzat 2019. '!EK36+'2.10. sz. Intézmények összesen'!E36</f>
        <v>601200</v>
      </c>
      <c r="F36" s="8">
        <f>+'1. sz. Önkormányzat 2019. '!EL36+'2.10. sz. Intézmények összesen'!F36</f>
        <v>13300</v>
      </c>
      <c r="G36" s="8">
        <f>+'1. sz. Önkormányzat 2019. '!EM36+'2.10. sz. Intézmények összesen'!G36</f>
        <v>167845820</v>
      </c>
      <c r="H36" s="8">
        <f>'1. sz. Önkormányzat 2019. '!EN36</f>
        <v>0</v>
      </c>
      <c r="I36" s="28">
        <f t="shared" si="0"/>
        <v>167845820</v>
      </c>
      <c r="J36" s="28">
        <f t="shared" si="1"/>
        <v>0</v>
      </c>
    </row>
    <row r="37" spans="1:10" s="2" customFormat="1" ht="24.75" customHeight="1">
      <c r="A37" s="10" t="s">
        <v>331</v>
      </c>
      <c r="B37" s="174" t="s">
        <v>297</v>
      </c>
      <c r="C37" s="176" t="s">
        <v>274</v>
      </c>
      <c r="D37" s="9">
        <f>+'1. sz. Önkormányzat 2019. '!EJ37+'2.10. sz. Intézmények összesen'!D37</f>
        <v>5505594907</v>
      </c>
      <c r="E37" s="9">
        <f>+'1. sz. Önkormányzat 2019. '!EK37+'2.10. sz. Intézmények összesen'!E37</f>
        <v>101299800</v>
      </c>
      <c r="F37" s="9">
        <f>+'1. sz. Önkormányzat 2019. '!EL37+'2.10. sz. Intézmények összesen'!F37</f>
        <v>2521268</v>
      </c>
      <c r="G37" s="9">
        <f>+'1. sz. Önkormányzat 2019. '!EM37+'2.10. sz. Intézmények összesen'!G37</f>
        <v>5609415975</v>
      </c>
      <c r="H37" s="8">
        <f>'1. sz. Önkormányzat 2019. '!EN37</f>
        <v>0</v>
      </c>
      <c r="I37" s="28">
        <f t="shared" si="0"/>
        <v>5609415975</v>
      </c>
      <c r="J37" s="28">
        <f t="shared" si="1"/>
        <v>0</v>
      </c>
    </row>
    <row r="38" spans="1:10" s="2" customFormat="1" ht="24.75" customHeight="1">
      <c r="A38" s="10" t="s">
        <v>332</v>
      </c>
      <c r="B38" s="176" t="s">
        <v>298</v>
      </c>
      <c r="C38" s="1" t="s">
        <v>276</v>
      </c>
      <c r="D38" s="8">
        <f>+'1. sz. Önkormányzat 2019. '!EJ38+'2.10. sz. Intézmények összesen'!D38</f>
        <v>4576785862</v>
      </c>
      <c r="E38" s="8">
        <f>+'1. sz. Önkormányzat 2019. '!EK38+'2.10. sz. Intézmények összesen'!E38</f>
        <v>1500000000</v>
      </c>
      <c r="F38" s="8">
        <f>+'1. sz. Önkormányzat 2019. '!EL38+'2.10. sz. Intézmények összesen'!F38</f>
        <v>0</v>
      </c>
      <c r="G38" s="8">
        <f>+'1. sz. Önkormányzat 2019. '!EM38+'2.10. sz. Intézmények összesen'!G38</f>
        <v>6076785862</v>
      </c>
      <c r="H38" s="8">
        <f>'1. sz. Önkormányzat 2019. '!EN38</f>
        <v>0</v>
      </c>
      <c r="I38" s="28">
        <f t="shared" si="0"/>
        <v>6076785862</v>
      </c>
      <c r="J38" s="28">
        <f t="shared" si="1"/>
        <v>0</v>
      </c>
    </row>
    <row r="39" spans="1:10" s="2" customFormat="1" ht="24.75" customHeight="1">
      <c r="A39" s="10" t="s">
        <v>333</v>
      </c>
      <c r="B39" s="177" t="s">
        <v>754</v>
      </c>
      <c r="C39" s="1"/>
      <c r="D39" s="8">
        <f>+'1. sz. Önkormányzat 2019. '!EJ39+'2.10. sz. Intézmények összesen'!D39</f>
        <v>0</v>
      </c>
      <c r="E39" s="8">
        <f>+'1. sz. Önkormányzat 2019. '!EK39+'2.10. sz. Intézmények összesen'!E39</f>
        <v>0</v>
      </c>
      <c r="F39" s="8">
        <f>+'1. sz. Önkormányzat 2019. '!EL39+'2.10. sz. Intézmények összesen'!F39</f>
        <v>0</v>
      </c>
      <c r="G39" s="8">
        <f>+'1. sz. Önkormányzat 2019. '!EM39+'2.10. sz. Intézmények összesen'!G39</f>
        <v>0</v>
      </c>
      <c r="H39" s="8">
        <f>'1. sz. Önkormányzat 2019. '!EN39</f>
        <v>0</v>
      </c>
      <c r="I39" s="28">
        <f t="shared" si="0"/>
        <v>0</v>
      </c>
      <c r="J39" s="28">
        <f t="shared" si="1"/>
        <v>0</v>
      </c>
    </row>
    <row r="40" spans="1:11" s="31" customFormat="1" ht="24.75" customHeight="1">
      <c r="A40" s="10" t="s">
        <v>334</v>
      </c>
      <c r="B40" s="177" t="s">
        <v>713</v>
      </c>
      <c r="C40" s="30"/>
      <c r="D40" s="8">
        <f>+'1. sz. Önkormányzat 2019. '!EJ40+'2.10. sz. Intézmények összesen'!D40</f>
        <v>1107813354</v>
      </c>
      <c r="E40" s="8">
        <f>+'1. sz. Önkormányzat 2019. '!EK40+'2.10. sz. Intézmények összesen'!E40</f>
        <v>0</v>
      </c>
      <c r="F40" s="8">
        <f>+'1. sz. Önkormányzat 2019. '!EL40+'2.10. sz. Intézmények összesen'!F40</f>
        <v>0</v>
      </c>
      <c r="G40" s="8">
        <f>+'1. sz. Önkormányzat 2019. '!EM40+'2.10. sz. Intézmények összesen'!G40</f>
        <v>1107813354</v>
      </c>
      <c r="H40" s="8">
        <f>'1. sz. Önkormányzat 2019. '!EN40</f>
        <v>0</v>
      </c>
      <c r="I40" s="28">
        <f t="shared" si="0"/>
        <v>1107813354</v>
      </c>
      <c r="J40" s="28">
        <f t="shared" si="1"/>
        <v>0</v>
      </c>
      <c r="K40" s="953">
        <f>-1620000000+I40</f>
        <v>-512186646</v>
      </c>
    </row>
    <row r="41" spans="1:11" s="31" customFormat="1" ht="24.75" customHeight="1">
      <c r="A41" s="10" t="s">
        <v>341</v>
      </c>
      <c r="B41" s="177" t="s">
        <v>714</v>
      </c>
      <c r="C41" s="30"/>
      <c r="D41" s="8">
        <f>+'1. sz. Önkormányzat 2019. '!EJ41+'2.10. sz. Intézmények összesen'!D41</f>
        <v>1088785652</v>
      </c>
      <c r="E41" s="8">
        <f>+'1. sz. Önkormányzat 2019. '!EK41+'2.10. sz. Intézmények összesen'!E41</f>
        <v>0</v>
      </c>
      <c r="F41" s="8">
        <f>+'1. sz. Önkormányzat 2019. '!EL41+'2.10. sz. Intézmények összesen'!F41</f>
        <v>0</v>
      </c>
      <c r="G41" s="8">
        <f>+'1. sz. Önkormányzat 2019. '!EM41+'2.10. sz. Intézmények összesen'!G41</f>
        <v>1088785652</v>
      </c>
      <c r="H41" s="8">
        <f>'1. sz. Önkormányzat 2019. '!EN41</f>
        <v>0</v>
      </c>
      <c r="I41" s="28">
        <f t="shared" si="0"/>
        <v>1088785652</v>
      </c>
      <c r="J41" s="28">
        <f t="shared" si="1"/>
        <v>0</v>
      </c>
      <c r="K41" s="953">
        <f>0+I41</f>
        <v>1088785652</v>
      </c>
    </row>
    <row r="42" spans="1:11" s="31" customFormat="1" ht="24.75" customHeight="1">
      <c r="A42" s="10" t="s">
        <v>342</v>
      </c>
      <c r="B42" s="177" t="s">
        <v>715</v>
      </c>
      <c r="C42" s="30"/>
      <c r="D42" s="8">
        <f>+'1. sz. Önkormányzat 2019. '!EJ42+'2.10. sz. Intézmények összesen'!D42</f>
        <v>2316822077</v>
      </c>
      <c r="E42" s="8">
        <f>+'1. sz. Önkormányzat 2019. '!EK42+'2.10. sz. Intézmények összesen'!E42</f>
        <v>0</v>
      </c>
      <c r="F42" s="8">
        <f>+'1. sz. Önkormányzat 2019. '!EL42+'2.10. sz. Intézmények összesen'!F42</f>
        <v>0</v>
      </c>
      <c r="G42" s="8">
        <f>+'1. sz. Önkormányzat 2019. '!EM42+'2.10. sz. Intézmények összesen'!G42</f>
        <v>2316822077</v>
      </c>
      <c r="H42" s="8">
        <f>'1. sz. Önkormányzat 2019. '!EN42</f>
        <v>0</v>
      </c>
      <c r="I42" s="28">
        <f t="shared" si="0"/>
        <v>2316822077</v>
      </c>
      <c r="J42" s="28">
        <f t="shared" si="1"/>
        <v>0</v>
      </c>
      <c r="K42" s="31">
        <v>712186646</v>
      </c>
    </row>
    <row r="43" spans="1:11" s="31" customFormat="1" ht="24.75" customHeight="1">
      <c r="A43" s="10" t="s">
        <v>343</v>
      </c>
      <c r="B43" s="177" t="s">
        <v>716</v>
      </c>
      <c r="C43" s="30"/>
      <c r="D43" s="8">
        <f>+'1. sz. Önkormányzat 2019. '!EJ43+'2.10. sz. Intézmények összesen'!D43</f>
        <v>63364779</v>
      </c>
      <c r="E43" s="8">
        <f>+'1. sz. Önkormányzat 2019. '!EK43+'2.10. sz. Intézmények összesen'!E43</f>
        <v>0</v>
      </c>
      <c r="F43" s="8">
        <f>+'1. sz. Önkormányzat 2019. '!EL43+'2.10. sz. Intézmények összesen'!F43</f>
        <v>0</v>
      </c>
      <c r="G43" s="8">
        <f>+'1. sz. Önkormányzat 2019. '!EM43+'2.10. sz. Intézmények összesen'!G43</f>
        <v>63364779</v>
      </c>
      <c r="H43" s="8">
        <f>'1. sz. Önkormányzat 2019. '!EN43</f>
        <v>0</v>
      </c>
      <c r="I43" s="28">
        <f t="shared" si="0"/>
        <v>63364779</v>
      </c>
      <c r="J43" s="28">
        <f t="shared" si="1"/>
        <v>0</v>
      </c>
      <c r="K43" s="31">
        <v>144355</v>
      </c>
    </row>
    <row r="44" spans="1:10" s="31" customFormat="1" ht="24.75" customHeight="1">
      <c r="A44" s="10" t="s">
        <v>344</v>
      </c>
      <c r="B44" s="177" t="s">
        <v>769</v>
      </c>
      <c r="C44" s="30"/>
      <c r="D44" s="8">
        <f>+'1. sz. Önkormányzat 2019. '!EJ44+'2.10. sz. Intézmények összesen'!D44</f>
        <v>0</v>
      </c>
      <c r="E44" s="8">
        <f>+'1. sz. Önkormányzat 2019. '!EK44+'2.10. sz. Intézmények összesen'!E44</f>
        <v>0</v>
      </c>
      <c r="F44" s="8">
        <f>+'1. sz. Önkormányzat 2019. '!EL44+'2.10. sz. Intézmények összesen'!F44</f>
        <v>0</v>
      </c>
      <c r="G44" s="8">
        <f>+'1. sz. Önkormányzat 2019. '!EM44+'2.10. sz. Intézmények összesen'!G44</f>
        <v>0</v>
      </c>
      <c r="H44" s="8">
        <f>'1. sz. Önkormányzat 2019. '!EN44</f>
        <v>0</v>
      </c>
      <c r="I44" s="28">
        <f t="shared" si="0"/>
        <v>0</v>
      </c>
      <c r="J44" s="28">
        <f t="shared" si="1"/>
        <v>0</v>
      </c>
    </row>
    <row r="45" spans="1:10" s="31" customFormat="1" ht="24.75" customHeight="1">
      <c r="A45" s="10" t="s">
        <v>345</v>
      </c>
      <c r="B45" s="177" t="s">
        <v>1409</v>
      </c>
      <c r="C45" s="30"/>
      <c r="D45" s="8">
        <f>+'1. sz. Önkormányzat 2019. '!EJ45+'2.10. sz. Intézmények összesen'!D45</f>
        <v>0</v>
      </c>
      <c r="E45" s="8">
        <f>+'1. sz. Önkormányzat 2019. '!EK45+'2.10. sz. Intézmények összesen'!E45</f>
        <v>1500000000</v>
      </c>
      <c r="F45" s="8">
        <f>+'1. sz. Önkormányzat 2019. '!EL45+'2.10. sz. Intézmények összesen'!F45</f>
        <v>0</v>
      </c>
      <c r="G45" s="8">
        <f>+'1. sz. Önkormányzat 2019. '!EM45+'2.10. sz. Intézmények összesen'!G45</f>
        <v>1500000000</v>
      </c>
      <c r="H45" s="8"/>
      <c r="I45" s="28"/>
      <c r="J45" s="28"/>
    </row>
    <row r="46" spans="1:10" s="2" customFormat="1" ht="24.75" customHeight="1">
      <c r="A46" s="10" t="s">
        <v>346</v>
      </c>
      <c r="B46" s="90" t="s">
        <v>145</v>
      </c>
      <c r="C46" s="1"/>
      <c r="D46" s="9">
        <f>+'1. sz. Önkormányzat 2019. '!EJ46+'2.10. sz. Intézmények összesen'!D46</f>
        <v>8494633055</v>
      </c>
      <c r="E46" s="9">
        <f>+'1. sz. Önkormányzat 2019. '!EK46+'2.10. sz. Intézmények összesen'!E46</f>
        <v>1540698600</v>
      </c>
      <c r="F46" s="9">
        <f>+'1. sz. Önkormányzat 2019. '!EL46+'2.10. sz. Intézmények összesen'!F46</f>
        <v>2507968</v>
      </c>
      <c r="G46" s="9">
        <f>+'1. sz. Önkormányzat 2019. '!EM46+'2.10. sz. Intézmények összesen'!G46</f>
        <v>10037839623</v>
      </c>
      <c r="H46" s="8">
        <f>'1. sz. Önkormányzat 2019. '!EN46</f>
        <v>0</v>
      </c>
      <c r="I46" s="28">
        <f t="shared" si="0"/>
        <v>10037839623</v>
      </c>
      <c r="J46" s="28">
        <f t="shared" si="1"/>
        <v>0</v>
      </c>
    </row>
    <row r="47" spans="1:11" s="2" customFormat="1" ht="24.75" customHeight="1">
      <c r="A47" s="10" t="s">
        <v>347</v>
      </c>
      <c r="B47" s="90" t="s">
        <v>146</v>
      </c>
      <c r="C47" s="1"/>
      <c r="D47" s="9">
        <f>+'1. sz. Önkormányzat 2019. '!EJ47+'2.10. sz. Intézmények összesen'!D47</f>
        <v>1587747714</v>
      </c>
      <c r="E47" s="9">
        <f>+'1. sz. Önkormányzat 2019. '!EK47+'2.10. sz. Intézmények összesen'!E47</f>
        <v>60601200</v>
      </c>
      <c r="F47" s="9">
        <f>+'1. sz. Önkormányzat 2019. '!EL47+'2.10. sz. Intézmények összesen'!F47</f>
        <v>13300</v>
      </c>
      <c r="G47" s="9">
        <f>+'1. sz. Önkormányzat 2019. '!EM47+'2.10. sz. Intézmények összesen'!G47</f>
        <v>1648362214</v>
      </c>
      <c r="H47" s="8">
        <f>'1. sz. Önkormányzat 2019. '!EN47</f>
        <v>0</v>
      </c>
      <c r="I47" s="28">
        <f t="shared" si="0"/>
        <v>1648362214</v>
      </c>
      <c r="J47" s="28">
        <f t="shared" si="1"/>
        <v>0</v>
      </c>
      <c r="K47" s="504">
        <f>+G40+G41-1620000000</f>
        <v>576599006</v>
      </c>
    </row>
    <row r="48" spans="1:10" s="2" customFormat="1" ht="24.75" customHeight="1">
      <c r="A48" s="10" t="s">
        <v>348</v>
      </c>
      <c r="B48" s="90" t="s">
        <v>399</v>
      </c>
      <c r="C48" s="1"/>
      <c r="D48" s="9">
        <f>+'1. sz. Önkormányzat 2019. '!EJ48+'2.10. sz. Intézmények összesen'!D48</f>
        <v>10082380769</v>
      </c>
      <c r="E48" s="9">
        <f>+'1. sz. Önkormányzat 2019. '!EK48+'2.10. sz. Intézmények összesen'!E48</f>
        <v>1601299800</v>
      </c>
      <c r="F48" s="9">
        <f>+'1. sz. Önkormányzat 2019. '!EL48+'2.10. sz. Intézmények összesen'!F48</f>
        <v>2521268</v>
      </c>
      <c r="G48" s="9">
        <f>+'1. sz. Önkormányzat 2019. '!EM48+'2.10. sz. Intézmények összesen'!G48</f>
        <v>11686201837</v>
      </c>
      <c r="H48" s="8">
        <f>'1. sz. Önkormányzat 2019. '!EN48</f>
        <v>0</v>
      </c>
      <c r="I48" s="28">
        <f t="shared" si="0"/>
        <v>11686201837</v>
      </c>
      <c r="J48" s="28">
        <f t="shared" si="1"/>
        <v>0</v>
      </c>
    </row>
    <row r="49" spans="1:10" s="2" customFormat="1" ht="24.75" customHeight="1">
      <c r="A49" s="10" t="s">
        <v>349</v>
      </c>
      <c r="B49" s="90" t="s">
        <v>551</v>
      </c>
      <c r="C49" s="1"/>
      <c r="D49" s="8">
        <f>+'1. sz. Önkormányzat 2019. '!EJ49+'2.10. sz. Intézmények összesen'!D49</f>
        <v>325</v>
      </c>
      <c r="E49" s="8">
        <f>+'1. sz. Önkormányzat 2019. '!EK49+'2.10. sz. Intézmények összesen'!E49</f>
        <v>16</v>
      </c>
      <c r="F49" s="8">
        <f>+'1. sz. Önkormányzat 2019. '!EL49+'2.10. sz. Intézmények összesen'!F49</f>
        <v>9</v>
      </c>
      <c r="G49" s="8">
        <f>+'1. sz. Önkormányzat 2019. '!EM49+'2.10. sz. Intézmények összesen'!G49</f>
        <v>350</v>
      </c>
      <c r="H49" s="8">
        <f>'1. sz. Önkormányzat 2019. '!EN49</f>
        <v>0</v>
      </c>
      <c r="I49" s="28">
        <f t="shared" si="0"/>
        <v>350</v>
      </c>
      <c r="J49" s="28">
        <f t="shared" si="1"/>
        <v>0</v>
      </c>
    </row>
    <row r="50" spans="1:10" s="2" customFormat="1" ht="24.75" customHeight="1">
      <c r="A50" s="10" t="s">
        <v>350</v>
      </c>
      <c r="B50" s="90" t="s">
        <v>899</v>
      </c>
      <c r="C50" s="1"/>
      <c r="D50" s="8">
        <f>+'1. sz. Önkormányzat 2019. '!EJ50+'2.10. sz. Intézmények összesen'!D50</f>
        <v>265000000</v>
      </c>
      <c r="E50" s="8">
        <f>+'1. sz. Önkormányzat 2019. '!EK50+'2.10. sz. Intézmények összesen'!E50</f>
        <v>0</v>
      </c>
      <c r="F50" s="8">
        <f>+'1. sz. Önkormányzat 2019. '!EL50+'2.10. sz. Intézmények összesen'!F50</f>
        <v>0</v>
      </c>
      <c r="G50" s="8">
        <f>+'1. sz. Önkormányzat 2019. '!EM50+'2.10. sz. Intézmények összesen'!G50</f>
        <v>265000000</v>
      </c>
      <c r="H50" s="8">
        <f>'1. sz. Önkormányzat 2019. '!EN50</f>
        <v>0</v>
      </c>
      <c r="I50" s="28">
        <f t="shared" si="0"/>
        <v>265000000</v>
      </c>
      <c r="J50" s="28">
        <f t="shared" si="1"/>
        <v>0</v>
      </c>
    </row>
    <row r="51" spans="4:13" ht="15.75">
      <c r="D51" s="59"/>
      <c r="E51" s="59"/>
      <c r="F51" s="59"/>
      <c r="G51" s="326"/>
      <c r="H51" s="59"/>
      <c r="I51" s="105"/>
      <c r="J51" s="105"/>
      <c r="K51" s="105"/>
      <c r="L51" s="105"/>
      <c r="M51" s="105"/>
    </row>
    <row r="52" spans="4:13" ht="15.75">
      <c r="D52" s="28"/>
      <c r="E52" s="28"/>
      <c r="F52" s="28"/>
      <c r="G52" s="28"/>
      <c r="H52" s="28"/>
      <c r="I52" s="105"/>
      <c r="J52" s="105"/>
      <c r="K52" s="105"/>
      <c r="L52" s="105"/>
      <c r="M52" s="105"/>
    </row>
    <row r="53" spans="7:13" ht="15.75">
      <c r="G53" s="28"/>
      <c r="H53" s="28">
        <f>+G48-G29</f>
        <v>0.10236167907714844</v>
      </c>
      <c r="I53" s="105"/>
      <c r="J53" s="59">
        <f>+G48-G29</f>
        <v>0.10236167907714844</v>
      </c>
      <c r="K53" s="105"/>
      <c r="L53" s="105"/>
      <c r="M53" s="105"/>
    </row>
    <row r="54" spans="8:13" ht="15.75">
      <c r="H54" s="4">
        <f>160237220+12180711</f>
        <v>172417931</v>
      </c>
      <c r="I54" s="105"/>
      <c r="J54" s="105"/>
      <c r="K54" s="105"/>
      <c r="L54" s="105"/>
      <c r="M54" s="105"/>
    </row>
    <row r="55" spans="6:13" ht="15.75">
      <c r="F55" s="28"/>
      <c r="G55" s="28"/>
      <c r="H55" s="28">
        <f>+H53+H54</f>
        <v>172417931.10236168</v>
      </c>
      <c r="I55" s="105"/>
      <c r="J55" s="105"/>
      <c r="K55" s="105"/>
      <c r="L55" s="105"/>
      <c r="M55" s="105"/>
    </row>
    <row r="56" spans="7:13" ht="15.75">
      <c r="G56" s="28" t="s">
        <v>1351</v>
      </c>
      <c r="H56" s="28" t="s">
        <v>1352</v>
      </c>
      <c r="I56" s="105" t="s">
        <v>1355</v>
      </c>
      <c r="J56" s="105"/>
      <c r="K56" s="105"/>
      <c r="L56" s="105"/>
      <c r="M56" s="105"/>
    </row>
    <row r="57" spans="6:10" ht="15.75">
      <c r="F57" s="4" t="s">
        <v>1353</v>
      </c>
      <c r="G57" s="28">
        <f>+G8+G9+G10+G11+G12</f>
        <v>5571813306</v>
      </c>
      <c r="H57" s="28">
        <f>+G16+G17+G18</f>
        <v>2199432886.897638</v>
      </c>
      <c r="I57" s="28">
        <f>+G21</f>
        <v>3914955644</v>
      </c>
      <c r="J57" s="28">
        <f>+G57+H57+I57</f>
        <v>11686201836.897638</v>
      </c>
    </row>
    <row r="58" spans="6:10" ht="15.75">
      <c r="F58" s="4" t="s">
        <v>1354</v>
      </c>
      <c r="G58" s="28">
        <f>+G30+G32+G33+G35</f>
        <v>5113204192</v>
      </c>
      <c r="H58" s="28">
        <f>+G31+G34+G36</f>
        <v>496211783</v>
      </c>
      <c r="I58" s="28">
        <f>+G38</f>
        <v>6076785862</v>
      </c>
      <c r="J58" s="28">
        <f>+G58+H58+I58</f>
        <v>11686201837</v>
      </c>
    </row>
    <row r="59" ht="15.75">
      <c r="G59" s="28"/>
    </row>
    <row r="60" ht="15.75">
      <c r="G60" s="28">
        <f>+G20-G37</f>
        <v>2161830217.8976383</v>
      </c>
    </row>
    <row r="62" spans="7:8" ht="15.75">
      <c r="G62" s="28">
        <f>+G40+G41-G22-G25</f>
        <v>2161830218</v>
      </c>
      <c r="H62" s="28">
        <f>+G62-G60</f>
        <v>0.10236167907714844</v>
      </c>
    </row>
    <row r="63" ht="15.75">
      <c r="G63" s="4" t="s">
        <v>1356</v>
      </c>
    </row>
    <row r="64" ht="15.75">
      <c r="G64" s="28">
        <f>+G48-G29</f>
        <v>0.10236167907714844</v>
      </c>
    </row>
    <row r="67" ht="15.75">
      <c r="H67" s="28">
        <f>+G48-10189838087</f>
        <v>1496363750</v>
      </c>
    </row>
    <row r="69" ht="15.75">
      <c r="F69" s="4">
        <v>2376243106</v>
      </c>
    </row>
    <row r="70" ht="15.75">
      <c r="F70" s="4">
        <f>2196599006+1500000000</f>
        <v>3696599006</v>
      </c>
    </row>
    <row r="71" ht="15.75">
      <c r="F71" s="4">
        <v>2376243106</v>
      </c>
    </row>
    <row r="72" ht="15.75">
      <c r="F72" s="4">
        <v>31712522</v>
      </c>
    </row>
    <row r="73" ht="15.75">
      <c r="F73" s="4">
        <v>3056266</v>
      </c>
    </row>
    <row r="74" ht="15.75">
      <c r="F74" s="4">
        <v>1500000000</v>
      </c>
    </row>
  </sheetData>
  <sheetProtection/>
  <mergeCells count="12">
    <mergeCell ref="B5:C5"/>
    <mergeCell ref="A2:C2"/>
    <mergeCell ref="A3:A6"/>
    <mergeCell ref="B3:C3"/>
    <mergeCell ref="D3:G3"/>
    <mergeCell ref="B4:C4"/>
    <mergeCell ref="H3:H6"/>
    <mergeCell ref="D2:H2"/>
    <mergeCell ref="D4:D6"/>
    <mergeCell ref="E4:E6"/>
    <mergeCell ref="F4:F6"/>
    <mergeCell ref="G4:G6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55" r:id="rId1"/>
  <headerFooter alignWithMargins="0">
    <oddHeader>&amp;C2019. évi költségvetés&amp;R&amp;A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">
      <selection activeCell="K20" sqref="K20"/>
    </sheetView>
  </sheetViews>
  <sheetFormatPr defaultColWidth="9.00390625" defaultRowHeight="12.75"/>
  <cols>
    <col min="1" max="1" width="3.75390625" style="35" customWidth="1"/>
    <col min="2" max="2" width="4.00390625" style="35" customWidth="1"/>
    <col min="3" max="3" width="5.00390625" style="35" customWidth="1"/>
    <col min="4" max="4" width="44.875" style="35" customWidth="1"/>
    <col min="5" max="5" width="15.75390625" style="35" customWidth="1"/>
    <col min="6" max="7" width="15.625" style="35" customWidth="1"/>
    <col min="8" max="8" width="16.375" style="35" customWidth="1"/>
    <col min="9" max="9" width="16.00390625" style="35" customWidth="1"/>
    <col min="10" max="10" width="17.625" style="35" customWidth="1"/>
    <col min="11" max="11" width="12.75390625" style="35" customWidth="1"/>
    <col min="12" max="16384" width="9.125" style="35" customWidth="1"/>
  </cols>
  <sheetData>
    <row r="1" spans="1:11" ht="23.25" customHeight="1">
      <c r="A1" s="1243" t="s">
        <v>73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</row>
    <row r="2" spans="1:11" ht="32.25" customHeight="1">
      <c r="A2" s="1248" t="s">
        <v>886</v>
      </c>
      <c r="B2" s="1248"/>
      <c r="C2" s="1248"/>
      <c r="D2" s="1248"/>
      <c r="E2" s="1248"/>
      <c r="F2" s="1248"/>
      <c r="G2" s="1248"/>
      <c r="H2" s="1248"/>
      <c r="I2" s="1248"/>
      <c r="J2" s="1248"/>
      <c r="K2" s="72" t="s">
        <v>541</v>
      </c>
    </row>
    <row r="3" spans="1:12" ht="73.5" customHeight="1">
      <c r="A3" s="64" t="s">
        <v>55</v>
      </c>
      <c r="B3" s="65" t="s">
        <v>1309</v>
      </c>
      <c r="C3" s="65" t="s">
        <v>57</v>
      </c>
      <c r="D3" s="66" t="s">
        <v>3</v>
      </c>
      <c r="E3" s="67" t="s">
        <v>431</v>
      </c>
      <c r="F3" s="67" t="s">
        <v>721</v>
      </c>
      <c r="G3" s="589" t="s">
        <v>948</v>
      </c>
      <c r="H3" s="67" t="s">
        <v>432</v>
      </c>
      <c r="I3" s="67" t="s">
        <v>519</v>
      </c>
      <c r="J3" s="68" t="s">
        <v>65</v>
      </c>
      <c r="K3" s="246" t="s">
        <v>151</v>
      </c>
      <c r="L3" s="69"/>
    </row>
    <row r="4" spans="1:11" s="70" customFormat="1" ht="22.5" customHeight="1">
      <c r="A4" s="1246" t="s">
        <v>62</v>
      </c>
      <c r="B4" s="1247"/>
      <c r="C4" s="1247"/>
      <c r="D4" s="1247"/>
      <c r="E4" s="121">
        <f aca="true" t="shared" si="0" ref="E4:J4">SUM(E5:E11)</f>
        <v>4000000</v>
      </c>
      <c r="F4" s="121">
        <f t="shared" si="0"/>
        <v>1000000</v>
      </c>
      <c r="G4" s="121">
        <f t="shared" si="0"/>
        <v>35000000</v>
      </c>
      <c r="H4" s="121">
        <f t="shared" si="0"/>
        <v>10000000</v>
      </c>
      <c r="I4" s="121">
        <f t="shared" si="0"/>
        <v>1206500</v>
      </c>
      <c r="J4" s="122">
        <f t="shared" si="0"/>
        <v>0</v>
      </c>
      <c r="K4" s="179">
        <f>E4+F4+H4+J4+I4+G4</f>
        <v>51206500</v>
      </c>
    </row>
    <row r="5" spans="1:12" s="524" customFormat="1" ht="19.5" customHeight="1">
      <c r="A5" s="254" t="s">
        <v>246</v>
      </c>
      <c r="B5" s="1010">
        <v>301</v>
      </c>
      <c r="C5" s="255" t="s">
        <v>433</v>
      </c>
      <c r="D5" s="117" t="s">
        <v>59</v>
      </c>
      <c r="E5" s="181">
        <v>2000000</v>
      </c>
      <c r="F5" s="181"/>
      <c r="G5" s="181"/>
      <c r="H5" s="181"/>
      <c r="I5" s="1011"/>
      <c r="J5" s="256"/>
      <c r="K5" s="1012">
        <f aca="true" t="shared" si="1" ref="K5:K11">SUM(E5:J5)</f>
        <v>2000000</v>
      </c>
      <c r="L5" s="115"/>
    </row>
    <row r="6" spans="1:11" ht="27" customHeight="1">
      <c r="A6" s="254" t="s">
        <v>247</v>
      </c>
      <c r="B6" s="258">
        <v>302</v>
      </c>
      <c r="C6" s="259" t="s">
        <v>433</v>
      </c>
      <c r="D6" s="125" t="s">
        <v>60</v>
      </c>
      <c r="E6" s="264"/>
      <c r="F6" s="239">
        <v>1000000</v>
      </c>
      <c r="G6" s="239"/>
      <c r="H6" s="239"/>
      <c r="I6" s="260"/>
      <c r="J6" s="261"/>
      <c r="K6" s="1013">
        <f t="shared" si="1"/>
        <v>1000000</v>
      </c>
    </row>
    <row r="7" spans="1:11" ht="25.5">
      <c r="A7" s="254" t="s">
        <v>248</v>
      </c>
      <c r="B7" s="258">
        <v>301</v>
      </c>
      <c r="C7" s="259" t="s">
        <v>58</v>
      </c>
      <c r="D7" s="1014" t="s">
        <v>200</v>
      </c>
      <c r="E7" s="239">
        <f>1000000-500000</f>
        <v>500000</v>
      </c>
      <c r="F7" s="1015"/>
      <c r="G7" s="1015"/>
      <c r="H7" s="239"/>
      <c r="I7" s="260"/>
      <c r="J7" s="261"/>
      <c r="K7" s="1013">
        <f t="shared" si="1"/>
        <v>500000</v>
      </c>
    </row>
    <row r="8" spans="1:11" ht="25.5">
      <c r="A8" s="254" t="s">
        <v>249</v>
      </c>
      <c r="B8" s="258">
        <v>301</v>
      </c>
      <c r="C8" s="259" t="s">
        <v>58</v>
      </c>
      <c r="D8" s="1016" t="s">
        <v>61</v>
      </c>
      <c r="E8" s="181">
        <v>1500000</v>
      </c>
      <c r="F8" s="239"/>
      <c r="G8" s="239"/>
      <c r="H8" s="239"/>
      <c r="I8" s="260"/>
      <c r="J8" s="261"/>
      <c r="K8" s="1013">
        <f t="shared" si="1"/>
        <v>1500000</v>
      </c>
    </row>
    <row r="9" spans="1:11" ht="25.5">
      <c r="A9" s="254" t="s">
        <v>250</v>
      </c>
      <c r="B9" s="262">
        <v>311</v>
      </c>
      <c r="C9" s="263" t="s">
        <v>58</v>
      </c>
      <c r="D9" s="1017" t="s">
        <v>1357</v>
      </c>
      <c r="E9" s="1018"/>
      <c r="F9" s="264"/>
      <c r="G9" s="264">
        <v>35000000</v>
      </c>
      <c r="H9" s="264"/>
      <c r="I9" s="1019"/>
      <c r="J9" s="1020"/>
      <c r="K9" s="1013">
        <f t="shared" si="1"/>
        <v>35000000</v>
      </c>
    </row>
    <row r="10" spans="1:11" ht="31.5" customHeight="1">
      <c r="A10" s="254" t="s">
        <v>251</v>
      </c>
      <c r="B10" s="287" t="s">
        <v>1465</v>
      </c>
      <c r="C10" s="263" t="s">
        <v>58</v>
      </c>
      <c r="D10" s="1017" t="s">
        <v>962</v>
      </c>
      <c r="E10" s="1018"/>
      <c r="F10" s="264"/>
      <c r="G10" s="264"/>
      <c r="H10" s="264"/>
      <c r="I10" s="1019">
        <v>1206500</v>
      </c>
      <c r="J10" s="1020"/>
      <c r="K10" s="1013">
        <f t="shared" si="1"/>
        <v>1206500</v>
      </c>
    </row>
    <row r="11" spans="1:11" ht="39.75" customHeight="1">
      <c r="A11" s="254" t="s">
        <v>252</v>
      </c>
      <c r="B11" s="262">
        <v>303</v>
      </c>
      <c r="C11" s="263" t="s">
        <v>433</v>
      </c>
      <c r="D11" s="1017" t="s">
        <v>861</v>
      </c>
      <c r="E11" s="264"/>
      <c r="F11" s="264"/>
      <c r="G11" s="264"/>
      <c r="H11" s="264">
        <v>10000000</v>
      </c>
      <c r="I11" s="1019"/>
      <c r="J11" s="1020"/>
      <c r="K11" s="1021">
        <f t="shared" si="1"/>
        <v>10000000</v>
      </c>
    </row>
    <row r="12" spans="1:11" s="70" customFormat="1" ht="20.25" customHeight="1">
      <c r="A12" s="1246" t="s">
        <v>66</v>
      </c>
      <c r="B12" s="1247"/>
      <c r="C12" s="1247"/>
      <c r="D12" s="1247"/>
      <c r="E12" s="121">
        <f>SUM(E14)</f>
        <v>0</v>
      </c>
      <c r="F12" s="121">
        <f>SUM(F14)</f>
        <v>0</v>
      </c>
      <c r="G12" s="121"/>
      <c r="H12" s="121">
        <f>SUM(H14)</f>
        <v>0</v>
      </c>
      <c r="I12" s="121">
        <f>SUM(I14)</f>
        <v>0</v>
      </c>
      <c r="J12" s="122">
        <f>SUM(J14)</f>
        <v>5000000</v>
      </c>
      <c r="K12" s="179">
        <f>SUM(E12:J12)</f>
        <v>5000000</v>
      </c>
    </row>
    <row r="13" spans="1:11" s="70" customFormat="1" ht="20.25" customHeight="1">
      <c r="A13" s="1249" t="s">
        <v>608</v>
      </c>
      <c r="B13" s="1250"/>
      <c r="C13" s="1250"/>
      <c r="D13" s="1251"/>
      <c r="E13" s="1252"/>
      <c r="F13" s="1253"/>
      <c r="G13" s="1253"/>
      <c r="H13" s="1253"/>
      <c r="I13" s="1253"/>
      <c r="J13" s="1254"/>
      <c r="K13" s="179"/>
    </row>
    <row r="14" spans="1:11" ht="25.5" customHeight="1">
      <c r="A14" s="472" t="s">
        <v>246</v>
      </c>
      <c r="B14" s="473" t="s">
        <v>103</v>
      </c>
      <c r="C14" s="1022" t="s">
        <v>64</v>
      </c>
      <c r="D14" s="1023" t="s">
        <v>63</v>
      </c>
      <c r="E14" s="1024"/>
      <c r="F14" s="1024"/>
      <c r="G14" s="1024"/>
      <c r="H14" s="1024"/>
      <c r="I14" s="1025"/>
      <c r="J14" s="1026">
        <v>5000000</v>
      </c>
      <c r="K14" s="1027">
        <f>SUM(E14:J14)</f>
        <v>5000000</v>
      </c>
    </row>
    <row r="15" spans="1:11" ht="31.5" customHeight="1">
      <c r="A15" s="1244" t="s">
        <v>30</v>
      </c>
      <c r="B15" s="1245"/>
      <c r="C15" s="1245"/>
      <c r="D15" s="1245"/>
      <c r="E15" s="126">
        <f aca="true" t="shared" si="2" ref="E15:J15">+E12+E4</f>
        <v>4000000</v>
      </c>
      <c r="F15" s="126">
        <f t="shared" si="2"/>
        <v>1000000</v>
      </c>
      <c r="G15" s="126">
        <f t="shared" si="2"/>
        <v>35000000</v>
      </c>
      <c r="H15" s="126">
        <f t="shared" si="2"/>
        <v>10000000</v>
      </c>
      <c r="I15" s="126">
        <f t="shared" si="2"/>
        <v>1206500</v>
      </c>
      <c r="J15" s="122">
        <f t="shared" si="2"/>
        <v>5000000</v>
      </c>
      <c r="K15" s="179">
        <f>SUM(E15:J15)</f>
        <v>56206500</v>
      </c>
    </row>
    <row r="16" spans="5:10" ht="12.75">
      <c r="E16" s="71"/>
      <c r="F16" s="71"/>
      <c r="G16" s="71"/>
      <c r="H16" s="71"/>
      <c r="I16" s="71"/>
      <c r="J16" s="71"/>
    </row>
    <row r="17" spans="5:10" ht="12.75">
      <c r="E17" s="71"/>
      <c r="F17" s="71"/>
      <c r="G17" s="71"/>
      <c r="H17" s="71"/>
      <c r="I17" s="71"/>
      <c r="J17" s="71"/>
    </row>
    <row r="18" spans="5:10" ht="12.75">
      <c r="E18" s="71"/>
      <c r="F18" s="71"/>
      <c r="G18" s="71"/>
      <c r="H18" s="71"/>
      <c r="I18" s="71"/>
      <c r="J18" s="71"/>
    </row>
    <row r="19" spans="5:10" ht="12.75">
      <c r="E19" s="71"/>
      <c r="F19" s="71"/>
      <c r="G19" s="71"/>
      <c r="H19" s="71"/>
      <c r="I19" s="71"/>
      <c r="J19" s="71"/>
    </row>
    <row r="20" spans="5:10" ht="12.75">
      <c r="E20" s="71"/>
      <c r="F20" s="71"/>
      <c r="G20" s="71"/>
      <c r="H20" s="71"/>
      <c r="I20" s="71"/>
      <c r="J20" s="71"/>
    </row>
    <row r="21" spans="5:10" ht="12.75">
      <c r="E21" s="71"/>
      <c r="F21" s="71"/>
      <c r="G21" s="71"/>
      <c r="H21" s="71"/>
      <c r="I21" s="71"/>
      <c r="J21" s="71"/>
    </row>
  </sheetData>
  <sheetProtection/>
  <mergeCells count="7">
    <mergeCell ref="A1:K1"/>
    <mergeCell ref="A15:D15"/>
    <mergeCell ref="A12:D12"/>
    <mergeCell ref="A4:D4"/>
    <mergeCell ref="A2:J2"/>
    <mergeCell ref="A13:D13"/>
    <mergeCell ref="E13:J13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  <headerFooter>
    <oddHeader>&amp;C2019. évi költségvetés
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90" zoomScaleSheetLayoutView="90" workbookViewId="0" topLeftCell="A1">
      <selection activeCell="D49" sqref="D49"/>
    </sheetView>
  </sheetViews>
  <sheetFormatPr defaultColWidth="9.00390625" defaultRowHeight="12.75"/>
  <cols>
    <col min="1" max="1" width="4.25390625" style="35" customWidth="1"/>
    <col min="2" max="2" width="3.625" style="35" bestFit="1" customWidth="1"/>
    <col min="3" max="3" width="3.25390625" style="35" bestFit="1" customWidth="1"/>
    <col min="4" max="4" width="60.25390625" style="35" customWidth="1"/>
    <col min="5" max="5" width="18.625" style="35" customWidth="1"/>
    <col min="6" max="6" width="20.25390625" style="35" customWidth="1"/>
    <col min="7" max="7" width="16.00390625" style="35" customWidth="1"/>
    <col min="8" max="8" width="14.125" style="35" customWidth="1"/>
    <col min="9" max="16384" width="9.125" style="35" customWidth="1"/>
  </cols>
  <sheetData>
    <row r="1" spans="1:7" ht="23.25" customHeight="1">
      <c r="A1" s="1243" t="s">
        <v>67</v>
      </c>
      <c r="B1" s="1243"/>
      <c r="C1" s="1243"/>
      <c r="D1" s="1243"/>
      <c r="E1" s="1243"/>
      <c r="F1" s="1243"/>
      <c r="G1" s="1243"/>
    </row>
    <row r="2" spans="1:7" ht="24" customHeight="1">
      <c r="A2" s="1248" t="s">
        <v>886</v>
      </c>
      <c r="B2" s="1248"/>
      <c r="C2" s="1248"/>
      <c r="D2" s="1248"/>
      <c r="E2" s="1248"/>
      <c r="F2" s="1248"/>
      <c r="G2" s="1248"/>
    </row>
    <row r="3" ht="12.75">
      <c r="G3" s="72" t="s">
        <v>541</v>
      </c>
    </row>
    <row r="4" spans="1:7" ht="94.5" customHeight="1">
      <c r="A4" s="73" t="s">
        <v>55</v>
      </c>
      <c r="B4" s="74" t="s">
        <v>1309</v>
      </c>
      <c r="C4" s="74" t="s">
        <v>2</v>
      </c>
      <c r="D4" s="75" t="s">
        <v>3</v>
      </c>
      <c r="E4" s="76" t="s">
        <v>74</v>
      </c>
      <c r="F4" s="76" t="s">
        <v>70</v>
      </c>
      <c r="G4" s="77" t="s">
        <v>12</v>
      </c>
    </row>
    <row r="5" spans="1:9" ht="17.25" customHeight="1">
      <c r="A5" s="1258" t="s">
        <v>57</v>
      </c>
      <c r="B5" s="1259"/>
      <c r="C5" s="1259"/>
      <c r="D5" s="1259"/>
      <c r="E5" s="78" t="s">
        <v>90</v>
      </c>
      <c r="F5" s="78" t="s">
        <v>482</v>
      </c>
      <c r="G5" s="79"/>
      <c r="H5" s="71"/>
      <c r="I5" s="71"/>
    </row>
    <row r="6" spans="1:9" s="70" customFormat="1" ht="23.25" customHeight="1">
      <c r="A6" s="1260" t="s">
        <v>75</v>
      </c>
      <c r="B6" s="1261"/>
      <c r="C6" s="1261"/>
      <c r="D6" s="80" t="s">
        <v>939</v>
      </c>
      <c r="E6" s="81">
        <f>SUM(E7:E14)</f>
        <v>0</v>
      </c>
      <c r="F6" s="81">
        <f>SUM(F7:F14)</f>
        <v>35884000</v>
      </c>
      <c r="G6" s="82"/>
      <c r="H6" s="83"/>
      <c r="I6" s="83"/>
    </row>
    <row r="7" spans="1:9" ht="23.25" customHeight="1">
      <c r="A7" s="254" t="s">
        <v>246</v>
      </c>
      <c r="B7" s="1010">
        <v>312</v>
      </c>
      <c r="C7" s="257"/>
      <c r="D7" s="257" t="s">
        <v>836</v>
      </c>
      <c r="E7" s="265">
        <v>0</v>
      </c>
      <c r="F7" s="265">
        <f>24150000+1000000</f>
        <v>25150000</v>
      </c>
      <c r="G7" s="1066" t="s">
        <v>281</v>
      </c>
      <c r="H7" s="71"/>
      <c r="I7" s="71"/>
    </row>
    <row r="8" spans="1:9" ht="23.25" customHeight="1">
      <c r="A8" s="266" t="s">
        <v>247</v>
      </c>
      <c r="B8" s="258">
        <v>306</v>
      </c>
      <c r="C8" s="211"/>
      <c r="D8" s="211" t="s">
        <v>76</v>
      </c>
      <c r="E8" s="265">
        <v>0</v>
      </c>
      <c r="F8" s="267">
        <v>78000</v>
      </c>
      <c r="G8" s="135" t="s">
        <v>281</v>
      </c>
      <c r="H8" s="71"/>
      <c r="I8" s="71"/>
    </row>
    <row r="9" spans="1:9" ht="23.25" customHeight="1">
      <c r="A9" s="252" t="s">
        <v>248</v>
      </c>
      <c r="B9" s="258">
        <v>306</v>
      </c>
      <c r="C9" s="211"/>
      <c r="D9" s="211" t="s">
        <v>77</v>
      </c>
      <c r="E9" s="265">
        <v>0</v>
      </c>
      <c r="F9" s="267">
        <v>500000</v>
      </c>
      <c r="G9" s="135" t="s">
        <v>281</v>
      </c>
      <c r="H9" s="71"/>
      <c r="I9" s="71"/>
    </row>
    <row r="10" spans="1:9" ht="23.25" customHeight="1">
      <c r="A10" s="268" t="s">
        <v>249</v>
      </c>
      <c r="B10" s="262">
        <v>313</v>
      </c>
      <c r="C10" s="228"/>
      <c r="D10" s="269" t="s">
        <v>512</v>
      </c>
      <c r="E10" s="265">
        <v>0</v>
      </c>
      <c r="F10" s="267">
        <v>7656000</v>
      </c>
      <c r="G10" s="135" t="s">
        <v>281</v>
      </c>
      <c r="H10" s="71"/>
      <c r="I10" s="71"/>
    </row>
    <row r="11" spans="1:9" ht="23.25" customHeight="1">
      <c r="A11" s="268" t="s">
        <v>250</v>
      </c>
      <c r="B11" s="258">
        <v>306</v>
      </c>
      <c r="C11" s="517"/>
      <c r="D11" s="269" t="s">
        <v>862</v>
      </c>
      <c r="E11" s="518"/>
      <c r="F11" s="267">
        <v>500000</v>
      </c>
      <c r="G11" s="135" t="s">
        <v>281</v>
      </c>
      <c r="H11" s="71"/>
      <c r="I11" s="71"/>
    </row>
    <row r="12" spans="1:9" ht="23.25" customHeight="1">
      <c r="A12" s="268" t="s">
        <v>251</v>
      </c>
      <c r="B12" s="258">
        <v>306</v>
      </c>
      <c r="C12" s="517"/>
      <c r="D12" s="269" t="s">
        <v>864</v>
      </c>
      <c r="E12" s="518"/>
      <c r="F12" s="267">
        <v>300000</v>
      </c>
      <c r="G12" s="135" t="s">
        <v>281</v>
      </c>
      <c r="H12" s="71"/>
      <c r="I12" s="71"/>
    </row>
    <row r="13" spans="1:9" ht="23.25" customHeight="1">
      <c r="A13" s="268" t="s">
        <v>252</v>
      </c>
      <c r="B13" s="258">
        <v>306</v>
      </c>
      <c r="C13" s="517"/>
      <c r="D13" s="269" t="s">
        <v>863</v>
      </c>
      <c r="E13" s="518"/>
      <c r="F13" s="267">
        <v>700000</v>
      </c>
      <c r="G13" s="135" t="s">
        <v>281</v>
      </c>
      <c r="H13" s="71"/>
      <c r="I13" s="71"/>
    </row>
    <row r="14" spans="1:9" ht="27.75" customHeight="1">
      <c r="A14" s="268" t="s">
        <v>253</v>
      </c>
      <c r="B14" s="262">
        <v>306</v>
      </c>
      <c r="C14" s="517"/>
      <c r="D14" s="269" t="s">
        <v>840</v>
      </c>
      <c r="E14" s="518">
        <v>0</v>
      </c>
      <c r="F14" s="267">
        <v>1000000</v>
      </c>
      <c r="G14" s="135" t="s">
        <v>281</v>
      </c>
      <c r="H14" s="71"/>
      <c r="I14" s="71"/>
    </row>
    <row r="15" spans="1:9" s="70" customFormat="1" ht="23.25" customHeight="1">
      <c r="A15" s="1262" t="s">
        <v>78</v>
      </c>
      <c r="B15" s="1263"/>
      <c r="C15" s="1263"/>
      <c r="D15" s="120" t="s">
        <v>79</v>
      </c>
      <c r="E15" s="217">
        <f>+E16</f>
        <v>0</v>
      </c>
      <c r="F15" s="217">
        <f>+F16</f>
        <v>4400000</v>
      </c>
      <c r="G15" s="218"/>
      <c r="H15" s="83"/>
      <c r="I15" s="83"/>
    </row>
    <row r="16" spans="1:9" ht="23.25" customHeight="1">
      <c r="A16" s="270" t="s">
        <v>246</v>
      </c>
      <c r="B16" s="271">
        <v>307</v>
      </c>
      <c r="C16" s="272"/>
      <c r="D16" s="272" t="s">
        <v>80</v>
      </c>
      <c r="E16" s="1067"/>
      <c r="F16" s="1067">
        <v>4400000</v>
      </c>
      <c r="G16" s="273" t="s">
        <v>281</v>
      </c>
      <c r="H16" s="71"/>
      <c r="I16" s="71"/>
    </row>
    <row r="17" spans="1:9" s="220" customFormat="1" ht="27" customHeight="1">
      <c r="A17" s="1262" t="s">
        <v>165</v>
      </c>
      <c r="B17" s="1263"/>
      <c r="C17" s="1263"/>
      <c r="D17" s="216" t="s">
        <v>547</v>
      </c>
      <c r="E17" s="217">
        <f>+E18</f>
        <v>70000</v>
      </c>
      <c r="F17" s="217">
        <f>+F18</f>
        <v>0</v>
      </c>
      <c r="G17" s="218"/>
      <c r="H17" s="219"/>
      <c r="I17" s="219"/>
    </row>
    <row r="18" spans="1:9" s="115" customFormat="1" ht="23.25" customHeight="1">
      <c r="A18" s="557" t="s">
        <v>246</v>
      </c>
      <c r="B18" s="1068">
        <v>308</v>
      </c>
      <c r="C18" s="1069"/>
      <c r="D18" s="1069" t="s">
        <v>82</v>
      </c>
      <c r="E18" s="558">
        <v>70000</v>
      </c>
      <c r="F18" s="558">
        <v>0</v>
      </c>
      <c r="G18" s="559" t="s">
        <v>281</v>
      </c>
      <c r="H18" s="221"/>
      <c r="I18" s="221"/>
    </row>
    <row r="19" spans="1:9" s="70" customFormat="1" ht="23.25" customHeight="1">
      <c r="A19" s="1262" t="s">
        <v>83</v>
      </c>
      <c r="B19" s="1263"/>
      <c r="C19" s="1263"/>
      <c r="D19" s="216" t="s">
        <v>84</v>
      </c>
      <c r="E19" s="217">
        <f>+E20</f>
        <v>0</v>
      </c>
      <c r="F19" s="217">
        <f>+F20</f>
        <v>72000000</v>
      </c>
      <c r="G19" s="218"/>
      <c r="H19" s="83"/>
      <c r="I19" s="83"/>
    </row>
    <row r="20" spans="1:9" ht="23.25" customHeight="1">
      <c r="A20" s="270" t="s">
        <v>246</v>
      </c>
      <c r="B20" s="271">
        <v>309</v>
      </c>
      <c r="C20" s="272"/>
      <c r="D20" s="272" t="s">
        <v>85</v>
      </c>
      <c r="E20" s="1067">
        <v>0</v>
      </c>
      <c r="F20" s="1067">
        <f>36000000+36000000</f>
        <v>72000000</v>
      </c>
      <c r="G20" s="273" t="s">
        <v>281</v>
      </c>
      <c r="H20" s="71"/>
      <c r="I20" s="71"/>
    </row>
    <row r="21" spans="1:9" s="70" customFormat="1" ht="23.25" customHeight="1">
      <c r="A21" s="1262" t="s">
        <v>86</v>
      </c>
      <c r="B21" s="1263"/>
      <c r="C21" s="1263"/>
      <c r="D21" s="216" t="s">
        <v>87</v>
      </c>
      <c r="E21" s="217">
        <f>SUM(E22:E23)</f>
        <v>4000000</v>
      </c>
      <c r="F21" s="217">
        <f>SUM(F22:F23)</f>
        <v>682508</v>
      </c>
      <c r="G21" s="218"/>
      <c r="H21" s="83"/>
      <c r="I21" s="83"/>
    </row>
    <row r="22" spans="1:9" ht="23.25" customHeight="1">
      <c r="A22" s="1094" t="s">
        <v>246</v>
      </c>
      <c r="B22" s="1095">
        <v>310</v>
      </c>
      <c r="C22" s="1096"/>
      <c r="D22" s="1096" t="s">
        <v>88</v>
      </c>
      <c r="E22" s="1097">
        <v>4000000</v>
      </c>
      <c r="F22" s="1097"/>
      <c r="G22" s="1098" t="s">
        <v>281</v>
      </c>
      <c r="H22" s="71"/>
      <c r="I22" s="71"/>
    </row>
    <row r="23" spans="1:9" ht="23.25" customHeight="1">
      <c r="A23" s="283" t="s">
        <v>247</v>
      </c>
      <c r="B23" s="1099">
        <v>315</v>
      </c>
      <c r="C23" s="295"/>
      <c r="D23" s="295" t="s">
        <v>1343</v>
      </c>
      <c r="E23" s="1091"/>
      <c r="F23" s="1091">
        <v>682508</v>
      </c>
      <c r="G23" s="1092" t="s">
        <v>281</v>
      </c>
      <c r="H23" s="71"/>
      <c r="I23" s="71"/>
    </row>
    <row r="24" spans="1:9" ht="23.25" customHeight="1">
      <c r="A24" s="1271" t="s">
        <v>805</v>
      </c>
      <c r="B24" s="1272"/>
      <c r="C24" s="1272"/>
      <c r="D24" s="1070" t="s">
        <v>824</v>
      </c>
      <c r="E24" s="217">
        <f>SUM(E25:E25)</f>
        <v>0</v>
      </c>
      <c r="F24" s="217">
        <f>SUM(F25:F25)</f>
        <v>1000000</v>
      </c>
      <c r="G24" s="1071"/>
      <c r="H24" s="71"/>
      <c r="I24" s="71"/>
    </row>
    <row r="25" spans="1:9" ht="23.25" customHeight="1">
      <c r="A25" s="472" t="s">
        <v>246</v>
      </c>
      <c r="B25" s="473">
        <v>306</v>
      </c>
      <c r="C25" s="474"/>
      <c r="D25" s="1072" t="s">
        <v>837</v>
      </c>
      <c r="E25" s="475"/>
      <c r="F25" s="475">
        <v>1000000</v>
      </c>
      <c r="G25" s="476" t="s">
        <v>281</v>
      </c>
      <c r="H25" s="71"/>
      <c r="I25" s="71"/>
    </row>
    <row r="26" spans="1:9" ht="23.25" customHeight="1">
      <c r="A26" s="1073"/>
      <c r="B26" s="1073"/>
      <c r="C26" s="1073"/>
      <c r="D26" s="1073"/>
      <c r="E26" s="1074"/>
      <c r="F26" s="1075"/>
      <c r="G26" s="1074"/>
      <c r="H26" s="71"/>
      <c r="I26" s="71"/>
    </row>
    <row r="27" spans="1:9" s="88" customFormat="1" ht="23.25" customHeight="1">
      <c r="A27" s="1268" t="s">
        <v>655</v>
      </c>
      <c r="B27" s="1268"/>
      <c r="C27" s="1268"/>
      <c r="D27" s="1268"/>
      <c r="E27" s="1268"/>
      <c r="F27" s="1268"/>
      <c r="G27" s="1268"/>
      <c r="H27" s="87"/>
      <c r="I27" s="87"/>
    </row>
    <row r="28" spans="1:7" ht="95.25" customHeight="1">
      <c r="A28" s="1076" t="s">
        <v>55</v>
      </c>
      <c r="B28" s="1077" t="s">
        <v>56</v>
      </c>
      <c r="C28" s="1077" t="s">
        <v>2</v>
      </c>
      <c r="D28" s="1069" t="s">
        <v>3</v>
      </c>
      <c r="E28" s="1078" t="s">
        <v>74</v>
      </c>
      <c r="F28" s="1078" t="s">
        <v>70</v>
      </c>
      <c r="G28" s="1028" t="s">
        <v>12</v>
      </c>
    </row>
    <row r="29" spans="1:9" ht="20.25" customHeight="1">
      <c r="A29" s="1269" t="s">
        <v>57</v>
      </c>
      <c r="B29" s="1270"/>
      <c r="C29" s="1270"/>
      <c r="D29" s="1270"/>
      <c r="E29" s="1079" t="s">
        <v>90</v>
      </c>
      <c r="F29" s="1079" t="s">
        <v>482</v>
      </c>
      <c r="G29" s="676"/>
      <c r="H29" s="71"/>
      <c r="I29" s="71"/>
    </row>
    <row r="30" spans="1:9" s="70" customFormat="1" ht="23.25" customHeight="1">
      <c r="A30" s="1262" t="s">
        <v>68</v>
      </c>
      <c r="B30" s="1263"/>
      <c r="C30" s="1263"/>
      <c r="D30" s="120" t="s">
        <v>69</v>
      </c>
      <c r="E30" s="1080">
        <f>SUM(E31:E32)</f>
        <v>0</v>
      </c>
      <c r="F30" s="1080">
        <f>SUM(F31:F32)</f>
        <v>13085448</v>
      </c>
      <c r="G30" s="1081"/>
      <c r="H30" s="83"/>
      <c r="I30" s="83"/>
    </row>
    <row r="31" spans="1:9" ht="33.75" customHeight="1">
      <c r="A31" s="254" t="s">
        <v>246</v>
      </c>
      <c r="B31" s="276" t="s">
        <v>1466</v>
      </c>
      <c r="C31" s="277"/>
      <c r="D31" s="1082" t="s">
        <v>1282</v>
      </c>
      <c r="E31" s="181">
        <v>0</v>
      </c>
      <c r="F31" s="180">
        <f>3000000+2354923</f>
        <v>5354923</v>
      </c>
      <c r="G31" s="131" t="s">
        <v>281</v>
      </c>
      <c r="H31" s="71"/>
      <c r="I31" s="71"/>
    </row>
    <row r="32" spans="1:9" ht="27.75" customHeight="1">
      <c r="A32" s="268" t="s">
        <v>247</v>
      </c>
      <c r="B32" s="209" t="s">
        <v>1466</v>
      </c>
      <c r="C32" s="1083"/>
      <c r="D32" s="1084" t="s">
        <v>1281</v>
      </c>
      <c r="E32" s="181">
        <v>0</v>
      </c>
      <c r="F32" s="207">
        <f>5000000+2730525</f>
        <v>7730525</v>
      </c>
      <c r="G32" s="130" t="s">
        <v>281</v>
      </c>
      <c r="H32" s="71"/>
      <c r="I32" s="71"/>
    </row>
    <row r="33" spans="1:9" s="70" customFormat="1" ht="23.25" customHeight="1">
      <c r="A33" s="1262" t="s">
        <v>89</v>
      </c>
      <c r="B33" s="1263"/>
      <c r="C33" s="1263"/>
      <c r="D33" s="120" t="s">
        <v>538</v>
      </c>
      <c r="E33" s="1085">
        <f>SUM(E34:E36)</f>
        <v>0</v>
      </c>
      <c r="F33" s="1085">
        <f>SUM(F34:F36)</f>
        <v>75789412</v>
      </c>
      <c r="G33" s="178"/>
      <c r="H33" s="83"/>
      <c r="I33" s="83"/>
    </row>
    <row r="34" spans="1:9" ht="23.25" customHeight="1">
      <c r="A34" s="254" t="s">
        <v>246</v>
      </c>
      <c r="B34" s="276" t="s">
        <v>1467</v>
      </c>
      <c r="C34" s="277"/>
      <c r="D34" s="1082" t="s">
        <v>1283</v>
      </c>
      <c r="E34" s="240">
        <v>0</v>
      </c>
      <c r="F34" s="181">
        <v>50233508</v>
      </c>
      <c r="G34" s="131" t="s">
        <v>281</v>
      </c>
      <c r="H34" s="71"/>
      <c r="I34" s="71"/>
    </row>
    <row r="35" spans="1:9" ht="33.75" customHeight="1">
      <c r="A35" s="252" t="s">
        <v>247</v>
      </c>
      <c r="B35" s="209" t="s">
        <v>1467</v>
      </c>
      <c r="C35" s="279"/>
      <c r="D35" s="125" t="s">
        <v>1284</v>
      </c>
      <c r="E35" s="240">
        <v>0</v>
      </c>
      <c r="F35" s="239">
        <f>1000000+11689412</f>
        <v>12689412</v>
      </c>
      <c r="G35" s="132" t="s">
        <v>281</v>
      </c>
      <c r="H35" s="71"/>
      <c r="I35" s="71"/>
    </row>
    <row r="36" spans="1:9" ht="24" customHeight="1">
      <c r="A36" s="252" t="s">
        <v>248</v>
      </c>
      <c r="B36" s="276" t="s">
        <v>1467</v>
      </c>
      <c r="C36" s="279"/>
      <c r="D36" s="125" t="s">
        <v>434</v>
      </c>
      <c r="E36" s="240">
        <v>0</v>
      </c>
      <c r="F36" s="239">
        <v>12866492</v>
      </c>
      <c r="G36" s="132" t="s">
        <v>281</v>
      </c>
      <c r="H36" s="71"/>
      <c r="I36" s="71"/>
    </row>
    <row r="37" spans="1:9" ht="23.25" customHeight="1">
      <c r="A37" s="1086"/>
      <c r="B37" s="1087"/>
      <c r="C37" s="368"/>
      <c r="D37" s="1088" t="s">
        <v>92</v>
      </c>
      <c r="E37" s="298">
        <f>+E30+E33</f>
        <v>0</v>
      </c>
      <c r="F37" s="1085">
        <f>+F30+F33</f>
        <v>88874860</v>
      </c>
      <c r="G37" s="1089"/>
      <c r="H37" s="71"/>
      <c r="I37" s="71"/>
    </row>
    <row r="38" spans="1:9" ht="12.75">
      <c r="A38" s="115"/>
      <c r="B38" s="1090"/>
      <c r="C38" s="115"/>
      <c r="D38" s="115"/>
      <c r="E38" s="221"/>
      <c r="F38" s="221"/>
      <c r="G38" s="221"/>
      <c r="H38" s="71"/>
      <c r="I38" s="71"/>
    </row>
    <row r="39" spans="1:9" ht="15">
      <c r="A39" s="1268" t="s">
        <v>724</v>
      </c>
      <c r="B39" s="1268"/>
      <c r="C39" s="1268"/>
      <c r="D39" s="1268"/>
      <c r="E39" s="1268"/>
      <c r="F39" s="1268"/>
      <c r="G39" s="1268"/>
      <c r="H39" s="71"/>
      <c r="I39" s="71"/>
    </row>
    <row r="40" spans="1:9" ht="87.75">
      <c r="A40" s="1076" t="s">
        <v>55</v>
      </c>
      <c r="B40" s="1077" t="s">
        <v>56</v>
      </c>
      <c r="C40" s="1077" t="s">
        <v>2</v>
      </c>
      <c r="D40" s="1069" t="s">
        <v>3</v>
      </c>
      <c r="E40" s="1078" t="s">
        <v>74</v>
      </c>
      <c r="F40" s="1078" t="s">
        <v>70</v>
      </c>
      <c r="G40" s="1028" t="s">
        <v>12</v>
      </c>
      <c r="H40" s="71"/>
      <c r="I40" s="71"/>
    </row>
    <row r="41" spans="1:9" ht="12.75">
      <c r="A41" s="1269" t="s">
        <v>57</v>
      </c>
      <c r="B41" s="1270"/>
      <c r="C41" s="1270"/>
      <c r="D41" s="1270"/>
      <c r="E41" s="1079" t="s">
        <v>90</v>
      </c>
      <c r="F41" s="1079" t="s">
        <v>482</v>
      </c>
      <c r="G41" s="676"/>
      <c r="H41" s="71"/>
      <c r="I41" s="71"/>
    </row>
    <row r="42" spans="1:9" ht="17.25" customHeight="1">
      <c r="A42" s="1262" t="s">
        <v>89</v>
      </c>
      <c r="B42" s="1263"/>
      <c r="C42" s="1263"/>
      <c r="D42" s="120" t="s">
        <v>723</v>
      </c>
      <c r="E42" s="1080">
        <f>SUM(E43:E50)</f>
        <v>0</v>
      </c>
      <c r="F42" s="1080">
        <f>7000000+3000000</f>
        <v>10000000</v>
      </c>
      <c r="G42" s="1081"/>
      <c r="H42" s="71"/>
      <c r="I42" s="71"/>
    </row>
    <row r="43" spans="1:9" ht="20.25" customHeight="1">
      <c r="A43" s="274" t="s">
        <v>246</v>
      </c>
      <c r="B43" s="367" t="s">
        <v>1468</v>
      </c>
      <c r="C43" s="368"/>
      <c r="D43" s="369" t="s">
        <v>725</v>
      </c>
      <c r="E43" s="298">
        <v>0</v>
      </c>
      <c r="F43" s="370">
        <v>0</v>
      </c>
      <c r="G43" s="1100" t="s">
        <v>281</v>
      </c>
      <c r="H43" s="71"/>
      <c r="I43" s="71"/>
    </row>
    <row r="44" spans="1:9" ht="20.25" customHeight="1">
      <c r="A44" s="1073"/>
      <c r="B44" s="1166"/>
      <c r="C44" s="1167"/>
      <c r="D44" s="1168"/>
      <c r="E44" s="1169"/>
      <c r="F44" s="1170"/>
      <c r="G44" s="1170"/>
      <c r="H44" s="71"/>
      <c r="I44" s="71"/>
    </row>
    <row r="45" spans="1:9" ht="15">
      <c r="A45" s="1268" t="s">
        <v>1486</v>
      </c>
      <c r="B45" s="1268"/>
      <c r="C45" s="1268"/>
      <c r="D45" s="1268"/>
      <c r="E45" s="1268"/>
      <c r="F45" s="1268"/>
      <c r="G45" s="1268"/>
      <c r="H45" s="71"/>
      <c r="I45" s="71"/>
    </row>
    <row r="46" spans="1:9" ht="87.75">
      <c r="A46" s="1076" t="s">
        <v>55</v>
      </c>
      <c r="B46" s="1077" t="s">
        <v>56</v>
      </c>
      <c r="C46" s="1077" t="s">
        <v>2</v>
      </c>
      <c r="D46" s="1069" t="s">
        <v>3</v>
      </c>
      <c r="E46" s="1078" t="s">
        <v>74</v>
      </c>
      <c r="F46" s="1078" t="s">
        <v>70</v>
      </c>
      <c r="G46" s="1028" t="s">
        <v>12</v>
      </c>
      <c r="H46" s="71"/>
      <c r="I46" s="71"/>
    </row>
    <row r="47" spans="1:9" ht="12.75">
      <c r="A47" s="1269" t="s">
        <v>57</v>
      </c>
      <c r="B47" s="1270"/>
      <c r="C47" s="1270"/>
      <c r="D47" s="1270"/>
      <c r="E47" s="1079" t="s">
        <v>90</v>
      </c>
      <c r="F47" s="1079" t="s">
        <v>482</v>
      </c>
      <c r="G47" s="676"/>
      <c r="H47" s="71"/>
      <c r="I47" s="71"/>
    </row>
    <row r="48" spans="1:9" ht="17.25" customHeight="1">
      <c r="A48" s="1262" t="s">
        <v>89</v>
      </c>
      <c r="B48" s="1263"/>
      <c r="C48" s="1263"/>
      <c r="D48" s="120" t="s">
        <v>723</v>
      </c>
      <c r="E48" s="1080"/>
      <c r="F48" s="1080">
        <f>7000000+3000000</f>
        <v>10000000</v>
      </c>
      <c r="G48" s="1081"/>
      <c r="H48" s="71"/>
      <c r="I48" s="71"/>
    </row>
    <row r="49" spans="1:9" ht="20.25" customHeight="1">
      <c r="A49" s="274" t="s">
        <v>246</v>
      </c>
      <c r="B49" s="367" t="s">
        <v>1490</v>
      </c>
      <c r="C49" s="368"/>
      <c r="D49" s="369" t="s">
        <v>1486</v>
      </c>
      <c r="E49" s="298">
        <v>0</v>
      </c>
      <c r="F49" s="370">
        <v>0</v>
      </c>
      <c r="G49" s="1100" t="s">
        <v>281</v>
      </c>
      <c r="H49" s="71"/>
      <c r="I49" s="71"/>
    </row>
    <row r="50" spans="1:9" ht="12.75">
      <c r="A50" s="115"/>
      <c r="B50" s="1090"/>
      <c r="C50" s="115"/>
      <c r="D50" s="115"/>
      <c r="E50" s="221"/>
      <c r="F50" s="221"/>
      <c r="G50" s="221"/>
      <c r="H50" s="71"/>
      <c r="I50" s="71"/>
    </row>
    <row r="51" spans="1:9" ht="12.75">
      <c r="A51" s="115"/>
      <c r="B51" s="1090"/>
      <c r="C51" s="115"/>
      <c r="D51" s="115"/>
      <c r="E51" s="221"/>
      <c r="F51" s="221"/>
      <c r="G51" s="221"/>
      <c r="H51" s="71"/>
      <c r="I51" s="71"/>
    </row>
    <row r="52" spans="1:9" s="88" customFormat="1" ht="22.5" customHeight="1">
      <c r="A52" s="1264" t="s">
        <v>91</v>
      </c>
      <c r="B52" s="1264"/>
      <c r="C52" s="1264"/>
      <c r="D52" s="1264"/>
      <c r="E52" s="1264"/>
      <c r="F52" s="1264"/>
      <c r="G52" s="1264"/>
      <c r="H52" s="87"/>
      <c r="I52" s="87"/>
    </row>
    <row r="53" spans="1:7" ht="92.25" customHeight="1">
      <c r="A53" s="1076" t="s">
        <v>55</v>
      </c>
      <c r="B53" s="1077" t="s">
        <v>56</v>
      </c>
      <c r="C53" s="1077" t="s">
        <v>2</v>
      </c>
      <c r="D53" s="1069" t="s">
        <v>3</v>
      </c>
      <c r="E53" s="1078" t="s">
        <v>74</v>
      </c>
      <c r="F53" s="1078" t="s">
        <v>70</v>
      </c>
      <c r="G53" s="1028" t="s">
        <v>12</v>
      </c>
    </row>
    <row r="54" spans="1:9" ht="18" customHeight="1">
      <c r="A54" s="1265" t="s">
        <v>57</v>
      </c>
      <c r="B54" s="1266"/>
      <c r="C54" s="1266"/>
      <c r="D54" s="1267"/>
      <c r="E54" s="1091" t="s">
        <v>90</v>
      </c>
      <c r="F54" s="1091" t="s">
        <v>482</v>
      </c>
      <c r="G54" s="1092"/>
      <c r="H54" s="71"/>
      <c r="I54" s="71"/>
    </row>
    <row r="55" spans="1:9" ht="19.5" customHeight="1">
      <c r="A55" s="254" t="s">
        <v>246</v>
      </c>
      <c r="B55" s="281" t="s">
        <v>1469</v>
      </c>
      <c r="C55" s="277"/>
      <c r="D55" s="255" t="s">
        <v>93</v>
      </c>
      <c r="E55" s="181">
        <v>2000000</v>
      </c>
      <c r="F55" s="240">
        <v>0</v>
      </c>
      <c r="G55" s="131" t="s">
        <v>281</v>
      </c>
      <c r="H55" s="71"/>
      <c r="I55" s="71"/>
    </row>
    <row r="56" spans="1:9" ht="19.5" customHeight="1">
      <c r="A56" s="252" t="s">
        <v>247</v>
      </c>
      <c r="B56" s="282" t="s">
        <v>1469</v>
      </c>
      <c r="C56" s="279"/>
      <c r="D56" s="259" t="s">
        <v>94</v>
      </c>
      <c r="E56" s="239">
        <f>12550000+3800000</f>
        <v>16350000</v>
      </c>
      <c r="F56" s="240">
        <v>0</v>
      </c>
      <c r="G56" s="132" t="s">
        <v>281</v>
      </c>
      <c r="H56" s="71"/>
      <c r="I56" s="71"/>
    </row>
    <row r="57" spans="1:9" ht="19.5" customHeight="1">
      <c r="A57" s="283" t="s">
        <v>248</v>
      </c>
      <c r="B57" s="284">
        <v>311</v>
      </c>
      <c r="C57" s="285"/>
      <c r="D57" s="1093" t="s">
        <v>822</v>
      </c>
      <c r="E57" s="286">
        <v>2000000</v>
      </c>
      <c r="F57" s="280">
        <v>0</v>
      </c>
      <c r="G57" s="371" t="s">
        <v>281</v>
      </c>
      <c r="H57" s="71"/>
      <c r="I57" s="71"/>
    </row>
    <row r="58" spans="1:7" s="70" customFormat="1" ht="22.5" customHeight="1">
      <c r="A58" s="1255" t="s">
        <v>511</v>
      </c>
      <c r="B58" s="1256"/>
      <c r="C58" s="1256"/>
      <c r="D58" s="1256"/>
      <c r="E58" s="182">
        <f>SUM(E55:E57)</f>
        <v>20350000</v>
      </c>
      <c r="F58" s="238">
        <f>SUM(F55:F57)</f>
        <v>0</v>
      </c>
      <c r="G58" s="183"/>
    </row>
    <row r="60" spans="1:8" ht="30.75" customHeight="1">
      <c r="A60" s="1257" t="s">
        <v>96</v>
      </c>
      <c r="B60" s="1257"/>
      <c r="C60" s="1257"/>
      <c r="D60" s="1257"/>
      <c r="E60" s="184">
        <f>+E58+E37+E6+E15+E17+E19+E21+E42+E24</f>
        <v>24420000</v>
      </c>
      <c r="F60" s="184">
        <f>+F58+F37+F6+F15+F17+F19+F21+F42+F24</f>
        <v>212841368</v>
      </c>
      <c r="G60" s="184">
        <f>+G58+G37+G6+G15+G17+G19+G21+G42</f>
        <v>0</v>
      </c>
      <c r="H60" s="91">
        <f>E60+F60</f>
        <v>237261368</v>
      </c>
    </row>
    <row r="62" ht="33.75" customHeight="1">
      <c r="F62" s="91">
        <f>+F60+E60</f>
        <v>237261368</v>
      </c>
    </row>
    <row r="63" ht="18.75" customHeight="1"/>
    <row r="66" ht="18.75" customHeight="1"/>
    <row r="67" ht="18.75" customHeight="1"/>
    <row r="68" ht="18.75" customHeight="1"/>
    <row r="69" ht="18.75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7" ht="21.75" customHeight="1"/>
  </sheetData>
  <sheetProtection/>
  <mergeCells count="23">
    <mergeCell ref="A45:G45"/>
    <mergeCell ref="A47:D47"/>
    <mergeCell ref="A48:C48"/>
    <mergeCell ref="A39:G39"/>
    <mergeCell ref="A41:D41"/>
    <mergeCell ref="A42:C42"/>
    <mergeCell ref="A17:C17"/>
    <mergeCell ref="A27:G27"/>
    <mergeCell ref="A29:D29"/>
    <mergeCell ref="A19:C19"/>
    <mergeCell ref="A21:C21"/>
    <mergeCell ref="A30:C30"/>
    <mergeCell ref="A24:C24"/>
    <mergeCell ref="A58:D58"/>
    <mergeCell ref="A60:D60"/>
    <mergeCell ref="A1:G1"/>
    <mergeCell ref="A2:G2"/>
    <mergeCell ref="A5:D5"/>
    <mergeCell ref="A6:C6"/>
    <mergeCell ref="A15:C15"/>
    <mergeCell ref="A33:C33"/>
    <mergeCell ref="A52:G52"/>
    <mergeCell ref="A54:D5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50" r:id="rId1"/>
  <headerFooter>
    <oddHeader>&amp;C2019. évi költségvetés&amp;R&amp;A</oddHeader>
    <oddFooter>&amp;C&amp;P/&amp;N</oddFooter>
  </headerFooter>
  <rowBreaks count="1" manualBreakCount="1">
    <brk id="6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3"/>
  <sheetViews>
    <sheetView view="pageBreakPreview" zoomScale="80" zoomScaleSheetLayoutView="8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15" sqref="J15"/>
    </sheetView>
  </sheetViews>
  <sheetFormatPr defaultColWidth="9.00390625" defaultRowHeight="12.75"/>
  <cols>
    <col min="1" max="1" width="6.75390625" style="11" customWidth="1"/>
    <col min="2" max="2" width="11.75390625" style="11" customWidth="1"/>
    <col min="3" max="3" width="56.625" style="11" customWidth="1"/>
    <col min="4" max="4" width="6.625" style="11" customWidth="1"/>
    <col min="5" max="5" width="19.625" style="11" customWidth="1"/>
    <col min="6" max="6" width="17.625" style="11" customWidth="1"/>
    <col min="7" max="7" width="17.75390625" style="11" customWidth="1"/>
    <col min="8" max="8" width="14.75390625" style="11" customWidth="1"/>
    <col min="9" max="9" width="15.25390625" style="11" customWidth="1"/>
    <col min="10" max="10" width="17.625" style="11" customWidth="1"/>
    <col min="11" max="11" width="20.00390625" style="215" customWidth="1"/>
    <col min="12" max="12" width="16.75390625" style="11" bestFit="1" customWidth="1"/>
    <col min="13" max="13" width="17.375" style="11" customWidth="1"/>
    <col min="14" max="14" width="11.375" style="11" customWidth="1"/>
    <col min="15" max="15" width="16.375" style="11" customWidth="1"/>
    <col min="16" max="16" width="14.875" style="11" customWidth="1"/>
    <col min="17" max="17" width="9.25390625" style="11" bestFit="1" customWidth="1"/>
    <col min="18" max="18" width="15.625" style="11" bestFit="1" customWidth="1"/>
    <col min="19" max="19" width="13.00390625" style="11" customWidth="1"/>
    <col min="20" max="20" width="9.25390625" style="11" bestFit="1" customWidth="1"/>
    <col min="21" max="16384" width="9.125" style="11" customWidth="1"/>
  </cols>
  <sheetData>
    <row r="1" spans="1:16" ht="31.5" customHeight="1">
      <c r="A1" s="1282" t="s">
        <v>31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</row>
    <row r="2" spans="1:16" ht="30.75" customHeight="1">
      <c r="A2" s="1283" t="s">
        <v>886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</row>
    <row r="3" ht="13.5" customHeight="1">
      <c r="P3" s="113" t="s">
        <v>541</v>
      </c>
    </row>
    <row r="4" spans="1:16" ht="13.5" customHeight="1">
      <c r="A4" s="1281" t="s">
        <v>1477</v>
      </c>
      <c r="B4" s="1281" t="s">
        <v>2</v>
      </c>
      <c r="C4" s="1281" t="s">
        <v>3</v>
      </c>
      <c r="D4" s="1281" t="s">
        <v>1341</v>
      </c>
      <c r="E4" s="1281" t="s">
        <v>884</v>
      </c>
      <c r="F4" s="1278" t="s">
        <v>4</v>
      </c>
      <c r="G4" s="1278" t="s">
        <v>5</v>
      </c>
      <c r="H4" s="1278" t="s">
        <v>6</v>
      </c>
      <c r="I4" s="1278" t="s">
        <v>7</v>
      </c>
      <c r="J4" s="1278" t="s">
        <v>8</v>
      </c>
      <c r="K4" s="1289" t="s">
        <v>885</v>
      </c>
      <c r="L4" s="1290"/>
      <c r="M4" s="1290"/>
      <c r="N4" s="1290"/>
      <c r="O4" s="1291"/>
      <c r="P4" s="1286" t="s">
        <v>12</v>
      </c>
    </row>
    <row r="5" spans="1:16" ht="92.25" customHeight="1">
      <c r="A5" s="1281"/>
      <c r="B5" s="1281"/>
      <c r="C5" s="1281"/>
      <c r="D5" s="1281"/>
      <c r="E5" s="1281"/>
      <c r="F5" s="1278"/>
      <c r="G5" s="1278"/>
      <c r="H5" s="1278"/>
      <c r="I5" s="1278"/>
      <c r="J5" s="1278"/>
      <c r="K5" s="1279" t="s">
        <v>9</v>
      </c>
      <c r="L5" s="1284" t="s">
        <v>10</v>
      </c>
      <c r="M5" s="1295" t="s">
        <v>234</v>
      </c>
      <c r="N5" s="1284" t="s">
        <v>11</v>
      </c>
      <c r="O5" s="1284" t="s">
        <v>859</v>
      </c>
      <c r="P5" s="1287"/>
    </row>
    <row r="6" spans="1:16" ht="19.5" customHeight="1">
      <c r="A6" s="1294" t="s">
        <v>303</v>
      </c>
      <c r="B6" s="1294"/>
      <c r="C6" s="1294"/>
      <c r="D6" s="1294"/>
      <c r="E6" s="1294"/>
      <c r="F6" s="129" t="s">
        <v>13</v>
      </c>
      <c r="G6" s="127" t="s">
        <v>14</v>
      </c>
      <c r="H6" s="127" t="s">
        <v>15</v>
      </c>
      <c r="I6" s="127" t="s">
        <v>16</v>
      </c>
      <c r="J6" s="128" t="s">
        <v>17</v>
      </c>
      <c r="K6" s="1280"/>
      <c r="L6" s="1285"/>
      <c r="M6" s="1296"/>
      <c r="N6" s="1285"/>
      <c r="O6" s="1285"/>
      <c r="P6" s="1288"/>
    </row>
    <row r="7" spans="1:20" s="13" customFormat="1" ht="21" customHeight="1">
      <c r="A7" s="432" t="s">
        <v>29</v>
      </c>
      <c r="B7" s="433"/>
      <c r="C7" s="433"/>
      <c r="D7" s="433"/>
      <c r="E7" s="435">
        <f aca="true" t="shared" si="0" ref="E7:J7">+E8+E9</f>
        <v>56678745</v>
      </c>
      <c r="F7" s="435">
        <f t="shared" si="0"/>
        <v>0</v>
      </c>
      <c r="G7" s="435">
        <f t="shared" si="0"/>
        <v>48834217</v>
      </c>
      <c r="H7" s="435">
        <f t="shared" si="0"/>
        <v>5385827</v>
      </c>
      <c r="I7" s="435">
        <f t="shared" si="0"/>
        <v>0</v>
      </c>
      <c r="J7" s="241">
        <f t="shared" si="0"/>
        <v>2458701</v>
      </c>
      <c r="K7" s="436">
        <f>SUM(K9:K9)</f>
        <v>0</v>
      </c>
      <c r="L7" s="435">
        <f>SUM(L9:L9)</f>
        <v>6840000</v>
      </c>
      <c r="M7" s="435">
        <f>SUM(M9:M9)</f>
        <v>0</v>
      </c>
      <c r="N7" s="435">
        <f>SUM(N9:N9)</f>
        <v>0</v>
      </c>
      <c r="O7" s="435">
        <f>SUM(O9:O9)</f>
        <v>0</v>
      </c>
      <c r="P7" s="434"/>
      <c r="Q7" s="230"/>
      <c r="S7" s="230"/>
      <c r="T7" s="230"/>
    </row>
    <row r="8" spans="1:20" s="13" customFormat="1" ht="21" customHeight="1">
      <c r="A8" s="101">
        <v>130</v>
      </c>
      <c r="B8" s="1141">
        <v>104031</v>
      </c>
      <c r="C8" s="1135" t="s">
        <v>1285</v>
      </c>
      <c r="D8" s="1141">
        <v>6033</v>
      </c>
      <c r="E8" s="1139">
        <f>SUM(F8:J8)</f>
        <v>49838745</v>
      </c>
      <c r="F8" s="1139"/>
      <c r="G8" s="1139">
        <f>45113745+3720472</f>
        <v>48834217</v>
      </c>
      <c r="H8" s="1139"/>
      <c r="I8" s="1139"/>
      <c r="J8" s="1140">
        <v>1004528</v>
      </c>
      <c r="K8" s="1137"/>
      <c r="L8" s="1136"/>
      <c r="M8" s="1139">
        <v>49868745</v>
      </c>
      <c r="N8" s="1136"/>
      <c r="O8" s="1138"/>
      <c r="P8" s="132" t="s">
        <v>280</v>
      </c>
      <c r="Q8" s="230"/>
      <c r="S8" s="230"/>
      <c r="T8" s="230"/>
    </row>
    <row r="9" spans="1:20" s="13" customFormat="1" ht="23.25" customHeight="1">
      <c r="A9" s="1128" t="s">
        <v>801</v>
      </c>
      <c r="B9" s="1131" t="s">
        <v>81</v>
      </c>
      <c r="C9" s="291" t="s">
        <v>802</v>
      </c>
      <c r="D9" s="295">
        <v>7040</v>
      </c>
      <c r="E9" s="294">
        <f>SUM(F9:J9)</f>
        <v>6840000</v>
      </c>
      <c r="F9" s="294"/>
      <c r="G9" s="294"/>
      <c r="H9" s="294">
        <v>5385827</v>
      </c>
      <c r="I9" s="294"/>
      <c r="J9" s="371">
        <v>1454173</v>
      </c>
      <c r="K9" s="1132"/>
      <c r="L9" s="1133">
        <f>E9</f>
        <v>6840000</v>
      </c>
      <c r="M9" s="1134"/>
      <c r="N9" s="1134"/>
      <c r="O9" s="1134"/>
      <c r="P9" s="1129" t="s">
        <v>280</v>
      </c>
      <c r="R9" s="230">
        <f>SUM(K9:O9)</f>
        <v>6840000</v>
      </c>
      <c r="S9" s="230">
        <f>+R9-E9</f>
        <v>0</v>
      </c>
      <c r="T9" s="230"/>
    </row>
    <row r="10" spans="1:20" s="13" customFormat="1" ht="21.75" customHeight="1">
      <c r="A10" s="1101" t="s">
        <v>18</v>
      </c>
      <c r="B10" s="120"/>
      <c r="C10" s="120"/>
      <c r="D10" s="120"/>
      <c r="E10" s="1080">
        <f aca="true" t="shared" si="1" ref="E10:O10">SUM(E11:E17)</f>
        <v>312461830</v>
      </c>
      <c r="F10" s="1080">
        <f t="shared" si="1"/>
        <v>0</v>
      </c>
      <c r="G10" s="1080">
        <f t="shared" si="1"/>
        <v>284362035</v>
      </c>
      <c r="H10" s="1080">
        <f t="shared" si="1"/>
        <v>0</v>
      </c>
      <c r="I10" s="1080">
        <f t="shared" si="1"/>
        <v>0</v>
      </c>
      <c r="J10" s="178">
        <f t="shared" si="1"/>
        <v>28099795</v>
      </c>
      <c r="K10" s="1102">
        <f t="shared" si="1"/>
        <v>302462769</v>
      </c>
      <c r="L10" s="1080">
        <f t="shared" si="1"/>
        <v>0</v>
      </c>
      <c r="M10" s="1080">
        <f t="shared" si="1"/>
        <v>14999061</v>
      </c>
      <c r="N10" s="1080">
        <f t="shared" si="1"/>
        <v>0</v>
      </c>
      <c r="O10" s="1103">
        <f t="shared" si="1"/>
        <v>0</v>
      </c>
      <c r="P10" s="178"/>
      <c r="R10" s="230">
        <f aca="true" t="shared" si="2" ref="R10:R81">SUM(K10:O10)</f>
        <v>317461830</v>
      </c>
      <c r="S10" s="230">
        <f aca="true" t="shared" si="3" ref="S10:S81">+R10-E10</f>
        <v>5000000</v>
      </c>
      <c r="T10" s="230"/>
    </row>
    <row r="11" spans="1:20" ht="29.25" customHeight="1">
      <c r="A11" s="1104" t="s">
        <v>1398</v>
      </c>
      <c r="B11" s="1105" t="s">
        <v>779</v>
      </c>
      <c r="C11" s="117" t="s">
        <v>940</v>
      </c>
      <c r="D11" s="228">
        <v>7070</v>
      </c>
      <c r="E11" s="180">
        <f aca="true" t="shared" si="4" ref="E11:E16">SUM(F11:J11)</f>
        <v>14999061</v>
      </c>
      <c r="F11" s="207"/>
      <c r="G11" s="207">
        <v>14999061</v>
      </c>
      <c r="H11" s="207"/>
      <c r="I11" s="207"/>
      <c r="J11" s="229"/>
      <c r="K11" s="253"/>
      <c r="L11" s="208"/>
      <c r="M11" s="264">
        <v>14999061</v>
      </c>
      <c r="N11" s="208"/>
      <c r="O11" s="208"/>
      <c r="P11" s="131" t="s">
        <v>280</v>
      </c>
      <c r="R11" s="230">
        <f t="shared" si="2"/>
        <v>14999061</v>
      </c>
      <c r="S11" s="230">
        <f t="shared" si="3"/>
        <v>0</v>
      </c>
      <c r="T11" s="29"/>
    </row>
    <row r="12" spans="1:20" ht="29.25" customHeight="1">
      <c r="A12" s="164" t="s">
        <v>722</v>
      </c>
      <c r="B12" s="1106" t="s">
        <v>779</v>
      </c>
      <c r="C12" s="117" t="s">
        <v>941</v>
      </c>
      <c r="D12" s="228">
        <v>8045</v>
      </c>
      <c r="E12" s="180">
        <f t="shared" si="4"/>
        <v>165289665</v>
      </c>
      <c r="F12" s="207"/>
      <c r="G12" s="207">
        <v>165289665</v>
      </c>
      <c r="H12" s="207"/>
      <c r="I12" s="207"/>
      <c r="J12" s="229"/>
      <c r="K12" s="253">
        <f>E12</f>
        <v>165289665</v>
      </c>
      <c r="L12" s="208"/>
      <c r="M12" s="264"/>
      <c r="N12" s="208"/>
      <c r="O12" s="208"/>
      <c r="P12" s="131" t="s">
        <v>280</v>
      </c>
      <c r="R12" s="230">
        <f t="shared" si="2"/>
        <v>165289665</v>
      </c>
      <c r="S12" s="230">
        <f t="shared" si="3"/>
        <v>0</v>
      </c>
      <c r="T12" s="29"/>
    </row>
    <row r="13" spans="1:20" s="524" customFormat="1" ht="29.25" customHeight="1">
      <c r="A13" s="1107" t="s">
        <v>161</v>
      </c>
      <c r="B13" s="1106" t="s">
        <v>779</v>
      </c>
      <c r="C13" s="117" t="s">
        <v>909</v>
      </c>
      <c r="D13" s="228">
        <v>9001</v>
      </c>
      <c r="E13" s="180">
        <f t="shared" si="4"/>
        <v>13000000</v>
      </c>
      <c r="F13" s="207"/>
      <c r="G13" s="207">
        <v>10236220</v>
      </c>
      <c r="H13" s="207"/>
      <c r="I13" s="207"/>
      <c r="J13" s="229">
        <v>2763780</v>
      </c>
      <c r="K13" s="253">
        <f>E13</f>
        <v>13000000</v>
      </c>
      <c r="L13" s="208"/>
      <c r="M13" s="264"/>
      <c r="N13" s="208"/>
      <c r="O13" s="208"/>
      <c r="P13" s="131" t="s">
        <v>280</v>
      </c>
      <c r="R13" s="230">
        <f t="shared" si="2"/>
        <v>13000000</v>
      </c>
      <c r="S13" s="230">
        <f t="shared" si="3"/>
        <v>0</v>
      </c>
      <c r="T13" s="525"/>
    </row>
    <row r="14" spans="1:20" s="524" customFormat="1" ht="29.25" customHeight="1">
      <c r="A14" s="1107" t="s">
        <v>161</v>
      </c>
      <c r="B14" s="1106" t="s">
        <v>779</v>
      </c>
      <c r="C14" s="117" t="s">
        <v>953</v>
      </c>
      <c r="D14" s="228">
        <v>9002</v>
      </c>
      <c r="E14" s="180">
        <f t="shared" si="4"/>
        <v>40000000</v>
      </c>
      <c r="F14" s="207"/>
      <c r="G14" s="207">
        <v>31496063</v>
      </c>
      <c r="H14" s="207"/>
      <c r="I14" s="207"/>
      <c r="J14" s="229">
        <v>8503937</v>
      </c>
      <c r="K14" s="253">
        <v>40000000</v>
      </c>
      <c r="L14" s="208"/>
      <c r="M14" s="264"/>
      <c r="N14" s="208"/>
      <c r="O14" s="208"/>
      <c r="P14" s="131" t="s">
        <v>280</v>
      </c>
      <c r="R14" s="230">
        <f t="shared" si="2"/>
        <v>40000000</v>
      </c>
      <c r="S14" s="230">
        <f t="shared" si="3"/>
        <v>0</v>
      </c>
      <c r="T14" s="525"/>
    </row>
    <row r="15" spans="1:20" s="524" customFormat="1" ht="29.25" customHeight="1">
      <c r="A15" s="1107" t="s">
        <v>161</v>
      </c>
      <c r="B15" s="1106" t="s">
        <v>779</v>
      </c>
      <c r="C15" s="117" t="s">
        <v>1303</v>
      </c>
      <c r="D15" s="228">
        <v>9019</v>
      </c>
      <c r="E15" s="180">
        <f t="shared" si="4"/>
        <v>35000000</v>
      </c>
      <c r="F15" s="207"/>
      <c r="G15" s="207">
        <v>27559055</v>
      </c>
      <c r="H15" s="207"/>
      <c r="I15" s="207"/>
      <c r="J15" s="229">
        <v>7440945</v>
      </c>
      <c r="K15" s="253">
        <v>40000000</v>
      </c>
      <c r="L15" s="208"/>
      <c r="M15" s="264"/>
      <c r="N15" s="208"/>
      <c r="O15" s="208"/>
      <c r="P15" s="131" t="s">
        <v>280</v>
      </c>
      <c r="R15" s="230"/>
      <c r="S15" s="230"/>
      <c r="T15" s="525"/>
    </row>
    <row r="16" spans="1:20" s="524" customFormat="1" ht="29.25" customHeight="1">
      <c r="A16" s="1107" t="s">
        <v>161</v>
      </c>
      <c r="B16" s="1106" t="s">
        <v>779</v>
      </c>
      <c r="C16" s="117" t="s">
        <v>954</v>
      </c>
      <c r="D16" s="228">
        <v>9003</v>
      </c>
      <c r="E16" s="180">
        <f t="shared" si="4"/>
        <v>20000000</v>
      </c>
      <c r="F16" s="207"/>
      <c r="G16" s="207">
        <v>15748031</v>
      </c>
      <c r="H16" s="207"/>
      <c r="I16" s="207"/>
      <c r="J16" s="229">
        <v>4251969</v>
      </c>
      <c r="K16" s="253">
        <v>20000000</v>
      </c>
      <c r="L16" s="208"/>
      <c r="M16" s="264"/>
      <c r="N16" s="208"/>
      <c r="O16" s="208"/>
      <c r="P16" s="131" t="s">
        <v>280</v>
      </c>
      <c r="R16" s="230">
        <f t="shared" si="2"/>
        <v>20000000</v>
      </c>
      <c r="S16" s="230">
        <f t="shared" si="3"/>
        <v>0</v>
      </c>
      <c r="T16" s="525"/>
    </row>
    <row r="17" spans="1:20" s="524" customFormat="1" ht="24" customHeight="1">
      <c r="A17" s="1107" t="s">
        <v>161</v>
      </c>
      <c r="B17" s="1108" t="s">
        <v>779</v>
      </c>
      <c r="C17" s="1109" t="s">
        <v>860</v>
      </c>
      <c r="D17" s="1110">
        <v>8036</v>
      </c>
      <c r="E17" s="180">
        <f>+G17+J17+F17+H17+I17</f>
        <v>24173104</v>
      </c>
      <c r="F17" s="207"/>
      <c r="G17" s="207">
        <v>19033940</v>
      </c>
      <c r="H17" s="207"/>
      <c r="I17" s="207"/>
      <c r="J17" s="229">
        <v>5139164</v>
      </c>
      <c r="K17" s="253">
        <f>E17</f>
        <v>24173104</v>
      </c>
      <c r="L17" s="208"/>
      <c r="M17" s="264"/>
      <c r="N17" s="208"/>
      <c r="O17" s="208"/>
      <c r="P17" s="131" t="s">
        <v>280</v>
      </c>
      <c r="R17" s="230">
        <f t="shared" si="2"/>
        <v>24173104</v>
      </c>
      <c r="S17" s="230">
        <f t="shared" si="3"/>
        <v>0</v>
      </c>
      <c r="T17" s="525"/>
    </row>
    <row r="18" spans="1:20" s="13" customFormat="1" ht="21" customHeight="1">
      <c r="A18" s="1101" t="s">
        <v>19</v>
      </c>
      <c r="B18" s="120"/>
      <c r="C18" s="120"/>
      <c r="D18" s="120"/>
      <c r="E18" s="1080">
        <f aca="true" t="shared" si="5" ref="E18:O18">SUM(E19:E29)</f>
        <v>264655971.89763778</v>
      </c>
      <c r="F18" s="1080">
        <f t="shared" si="5"/>
        <v>0</v>
      </c>
      <c r="G18" s="1080">
        <f t="shared" si="5"/>
        <v>252333997.89763778</v>
      </c>
      <c r="H18" s="1080">
        <f t="shared" si="5"/>
        <v>0</v>
      </c>
      <c r="I18" s="1080">
        <f t="shared" si="5"/>
        <v>0</v>
      </c>
      <c r="J18" s="1080">
        <f t="shared" si="5"/>
        <v>12321974</v>
      </c>
      <c r="K18" s="1111">
        <f t="shared" si="5"/>
        <v>191006248.89763778</v>
      </c>
      <c r="L18" s="1111">
        <f t="shared" si="5"/>
        <v>0</v>
      </c>
      <c r="M18" s="1111">
        <f t="shared" si="5"/>
        <v>73649723</v>
      </c>
      <c r="N18" s="1111">
        <f t="shared" si="5"/>
        <v>0</v>
      </c>
      <c r="O18" s="1111">
        <f t="shared" si="5"/>
        <v>0</v>
      </c>
      <c r="P18" s="178"/>
      <c r="R18" s="230">
        <f t="shared" si="2"/>
        <v>264655971.89763778</v>
      </c>
      <c r="S18" s="230">
        <f t="shared" si="3"/>
        <v>0</v>
      </c>
      <c r="T18" s="230"/>
    </row>
    <row r="19" spans="1:20" s="532" customFormat="1" ht="28.5" customHeight="1">
      <c r="A19" s="1112" t="s">
        <v>103</v>
      </c>
      <c r="B19" s="290" t="s">
        <v>163</v>
      </c>
      <c r="C19" s="288" t="s">
        <v>914</v>
      </c>
      <c r="D19" s="228">
        <v>9004</v>
      </c>
      <c r="E19" s="180">
        <f aca="true" t="shared" si="6" ref="E19:E29">SUM(F19:J19)</f>
        <v>5000000</v>
      </c>
      <c r="F19" s="207"/>
      <c r="G19" s="207">
        <v>3937007</v>
      </c>
      <c r="H19" s="207"/>
      <c r="I19" s="207"/>
      <c r="J19" s="229">
        <v>1062993</v>
      </c>
      <c r="K19" s="289">
        <f>E19</f>
        <v>5000000</v>
      </c>
      <c r="L19" s="208"/>
      <c r="M19" s="208"/>
      <c r="N19" s="208"/>
      <c r="O19" s="208"/>
      <c r="P19" s="131" t="s">
        <v>280</v>
      </c>
      <c r="R19" s="230">
        <f t="shared" si="2"/>
        <v>5000000</v>
      </c>
      <c r="S19" s="230">
        <f t="shared" si="3"/>
        <v>0</v>
      </c>
      <c r="T19" s="533"/>
    </row>
    <row r="20" spans="1:20" s="532" customFormat="1" ht="28.5" customHeight="1">
      <c r="A20" s="1112" t="s">
        <v>103</v>
      </c>
      <c r="B20" s="290" t="s">
        <v>163</v>
      </c>
      <c r="C20" s="288" t="s">
        <v>915</v>
      </c>
      <c r="D20" s="228">
        <v>9005</v>
      </c>
      <c r="E20" s="180">
        <f t="shared" si="6"/>
        <v>1000000</v>
      </c>
      <c r="F20" s="207"/>
      <c r="G20" s="207">
        <v>787402</v>
      </c>
      <c r="H20" s="207"/>
      <c r="I20" s="207"/>
      <c r="J20" s="229">
        <v>212598</v>
      </c>
      <c r="K20" s="289">
        <f>E20</f>
        <v>1000000</v>
      </c>
      <c r="L20" s="208"/>
      <c r="M20" s="208"/>
      <c r="N20" s="208"/>
      <c r="O20" s="208"/>
      <c r="P20" s="131" t="s">
        <v>280</v>
      </c>
      <c r="R20" s="230">
        <f t="shared" si="2"/>
        <v>1000000</v>
      </c>
      <c r="S20" s="230">
        <f t="shared" si="3"/>
        <v>0</v>
      </c>
      <c r="T20" s="533"/>
    </row>
    <row r="21" spans="1:20" s="524" customFormat="1" ht="28.5" customHeight="1">
      <c r="A21" s="1112" t="s">
        <v>103</v>
      </c>
      <c r="B21" s="290" t="s">
        <v>163</v>
      </c>
      <c r="C21" s="288" t="s">
        <v>1301</v>
      </c>
      <c r="D21" s="228">
        <v>9006</v>
      </c>
      <c r="E21" s="180">
        <f t="shared" si="6"/>
        <v>11999999.897637796</v>
      </c>
      <c r="F21" s="207"/>
      <c r="G21" s="207">
        <f>12000000/1.27</f>
        <v>9448818.897637796</v>
      </c>
      <c r="H21" s="207"/>
      <c r="I21" s="207"/>
      <c r="J21" s="229">
        <v>2551181</v>
      </c>
      <c r="K21" s="289">
        <f>E21</f>
        <v>11999999.897637796</v>
      </c>
      <c r="L21" s="208"/>
      <c r="M21" s="208"/>
      <c r="N21" s="208"/>
      <c r="O21" s="208"/>
      <c r="P21" s="131" t="s">
        <v>280</v>
      </c>
      <c r="R21" s="230">
        <f t="shared" si="2"/>
        <v>11999999.897637796</v>
      </c>
      <c r="S21" s="230">
        <f t="shared" si="3"/>
        <v>0</v>
      </c>
      <c r="T21" s="525"/>
    </row>
    <row r="22" spans="1:20" s="532" customFormat="1" ht="27" customHeight="1">
      <c r="A22" s="1112" t="s">
        <v>103</v>
      </c>
      <c r="B22" s="290" t="s">
        <v>163</v>
      </c>
      <c r="C22" s="288" t="s">
        <v>916</v>
      </c>
      <c r="D22" s="228">
        <v>9007</v>
      </c>
      <c r="E22" s="180">
        <f t="shared" si="6"/>
        <v>18300000</v>
      </c>
      <c r="F22" s="207"/>
      <c r="G22" s="207">
        <v>14409449</v>
      </c>
      <c r="H22" s="207"/>
      <c r="I22" s="207"/>
      <c r="J22" s="229">
        <v>3890551</v>
      </c>
      <c r="K22" s="289">
        <f>E22</f>
        <v>18300000</v>
      </c>
      <c r="L22" s="208"/>
      <c r="M22" s="208"/>
      <c r="N22" s="208"/>
      <c r="O22" s="208"/>
      <c r="P22" s="131" t="s">
        <v>280</v>
      </c>
      <c r="R22" s="230">
        <f t="shared" si="2"/>
        <v>18300000</v>
      </c>
      <c r="S22" s="230">
        <f t="shared" si="3"/>
        <v>0</v>
      </c>
      <c r="T22" s="533"/>
    </row>
    <row r="23" spans="1:20" s="524" customFormat="1" ht="38.25" customHeight="1">
      <c r="A23" s="1112" t="s">
        <v>931</v>
      </c>
      <c r="B23" s="290" t="s">
        <v>163</v>
      </c>
      <c r="C23" s="288" t="s">
        <v>933</v>
      </c>
      <c r="D23" s="228">
        <v>8008</v>
      </c>
      <c r="E23" s="180">
        <f t="shared" si="6"/>
        <v>205672397</v>
      </c>
      <c r="F23" s="207"/>
      <c r="G23" s="207">
        <f>192134126+7960056+2700000</f>
        <v>202794182</v>
      </c>
      <c r="H23" s="207"/>
      <c r="I23" s="207"/>
      <c r="J23" s="229">
        <f>2149215+729000</f>
        <v>2878215</v>
      </c>
      <c r="K23" s="289">
        <f>+E23-M23</f>
        <v>132022674</v>
      </c>
      <c r="L23" s="208"/>
      <c r="M23" s="264">
        <v>73649723</v>
      </c>
      <c r="N23" s="208"/>
      <c r="O23" s="208"/>
      <c r="P23" s="131" t="s">
        <v>280</v>
      </c>
      <c r="R23" s="230">
        <f t="shared" si="2"/>
        <v>205672397</v>
      </c>
      <c r="S23" s="230">
        <f t="shared" si="3"/>
        <v>0</v>
      </c>
      <c r="T23" s="525"/>
    </row>
    <row r="24" spans="1:20" ht="38.25" customHeight="1">
      <c r="A24" s="1113" t="s">
        <v>932</v>
      </c>
      <c r="B24" s="290" t="s">
        <v>163</v>
      </c>
      <c r="C24" s="288" t="s">
        <v>960</v>
      </c>
      <c r="D24" s="228">
        <v>8009</v>
      </c>
      <c r="E24" s="180">
        <f t="shared" si="6"/>
        <v>14562931</v>
      </c>
      <c r="F24" s="207"/>
      <c r="G24" s="207">
        <v>14562931</v>
      </c>
      <c r="H24" s="207"/>
      <c r="I24" s="207"/>
      <c r="J24" s="229"/>
      <c r="K24" s="289">
        <f aca="true" t="shared" si="7" ref="K24:K29">E24</f>
        <v>14562931</v>
      </c>
      <c r="L24" s="208"/>
      <c r="M24" s="208"/>
      <c r="N24" s="208"/>
      <c r="O24" s="208"/>
      <c r="P24" s="131" t="s">
        <v>280</v>
      </c>
      <c r="Q24" s="35"/>
      <c r="R24" s="230">
        <f t="shared" si="2"/>
        <v>14562931</v>
      </c>
      <c r="S24" s="230">
        <f t="shared" si="3"/>
        <v>0</v>
      </c>
      <c r="T24" s="91"/>
    </row>
    <row r="25" spans="1:20" ht="30" customHeight="1">
      <c r="A25" s="1113" t="s">
        <v>103</v>
      </c>
      <c r="B25" s="290" t="s">
        <v>163</v>
      </c>
      <c r="C25" s="117" t="s">
        <v>849</v>
      </c>
      <c r="D25" s="228">
        <v>7069</v>
      </c>
      <c r="E25" s="180">
        <f t="shared" si="6"/>
        <v>609600</v>
      </c>
      <c r="F25" s="207"/>
      <c r="G25" s="207">
        <v>480000</v>
      </c>
      <c r="H25" s="207"/>
      <c r="I25" s="207"/>
      <c r="J25" s="229">
        <v>129600</v>
      </c>
      <c r="K25" s="289">
        <f t="shared" si="7"/>
        <v>609600</v>
      </c>
      <c r="L25" s="208"/>
      <c r="M25" s="208"/>
      <c r="N25" s="208"/>
      <c r="O25" s="208"/>
      <c r="P25" s="131" t="s">
        <v>280</v>
      </c>
      <c r="Q25" s="35"/>
      <c r="R25" s="230">
        <f t="shared" si="2"/>
        <v>609600</v>
      </c>
      <c r="S25" s="230">
        <f t="shared" si="3"/>
        <v>0</v>
      </c>
      <c r="T25" s="91"/>
    </row>
    <row r="26" spans="1:20" ht="25.5" customHeight="1">
      <c r="A26" s="373" t="s">
        <v>848</v>
      </c>
      <c r="B26" s="1114" t="s">
        <v>163</v>
      </c>
      <c r="C26" s="124" t="s">
        <v>1304</v>
      </c>
      <c r="D26" s="228">
        <v>9028</v>
      </c>
      <c r="E26" s="180">
        <f t="shared" si="6"/>
        <v>6351252</v>
      </c>
      <c r="F26" s="207"/>
      <c r="G26" s="207">
        <v>5000986</v>
      </c>
      <c r="H26" s="207"/>
      <c r="I26" s="207"/>
      <c r="J26" s="229">
        <v>1350266</v>
      </c>
      <c r="K26" s="289">
        <f t="shared" si="7"/>
        <v>6351252</v>
      </c>
      <c r="L26" s="208"/>
      <c r="M26" s="208"/>
      <c r="N26" s="208"/>
      <c r="O26" s="208"/>
      <c r="P26" s="131" t="s">
        <v>280</v>
      </c>
      <c r="Q26" s="35"/>
      <c r="R26" s="230">
        <f t="shared" si="2"/>
        <v>6351252</v>
      </c>
      <c r="S26" s="230">
        <f t="shared" si="3"/>
        <v>0</v>
      </c>
      <c r="T26" s="91"/>
    </row>
    <row r="27" spans="1:20" ht="25.5" customHeight="1">
      <c r="A27" s="373" t="s">
        <v>848</v>
      </c>
      <c r="B27" s="1114" t="s">
        <v>163</v>
      </c>
      <c r="C27" s="1115" t="s">
        <v>1297</v>
      </c>
      <c r="D27" s="228">
        <v>9029</v>
      </c>
      <c r="E27" s="180">
        <f t="shared" si="6"/>
        <v>550192</v>
      </c>
      <c r="F27" s="207"/>
      <c r="G27" s="207">
        <v>433222</v>
      </c>
      <c r="H27" s="207"/>
      <c r="I27" s="207"/>
      <c r="J27" s="229">
        <v>116970</v>
      </c>
      <c r="K27" s="289">
        <f t="shared" si="7"/>
        <v>550192</v>
      </c>
      <c r="L27" s="208"/>
      <c r="M27" s="208"/>
      <c r="N27" s="208"/>
      <c r="O27" s="208"/>
      <c r="P27" s="131" t="s">
        <v>280</v>
      </c>
      <c r="Q27" s="35"/>
      <c r="R27" s="230"/>
      <c r="S27" s="230"/>
      <c r="T27" s="91"/>
    </row>
    <row r="28" spans="1:20" ht="23.25" customHeight="1">
      <c r="A28" s="1273" t="s">
        <v>848</v>
      </c>
      <c r="B28" s="276" t="s">
        <v>163</v>
      </c>
      <c r="C28" s="1275" t="s">
        <v>947</v>
      </c>
      <c r="D28" s="1270">
        <v>8034</v>
      </c>
      <c r="E28" s="180">
        <f t="shared" si="6"/>
        <v>304800</v>
      </c>
      <c r="F28" s="207"/>
      <c r="G28" s="207">
        <v>240000</v>
      </c>
      <c r="H28" s="207"/>
      <c r="I28" s="207"/>
      <c r="J28" s="229">
        <v>64800</v>
      </c>
      <c r="K28" s="289">
        <f t="shared" si="7"/>
        <v>304800</v>
      </c>
      <c r="L28" s="208"/>
      <c r="M28" s="208"/>
      <c r="N28" s="208"/>
      <c r="O28" s="208"/>
      <c r="P28" s="131" t="s">
        <v>280</v>
      </c>
      <c r="Q28" s="35"/>
      <c r="R28" s="230">
        <f t="shared" si="2"/>
        <v>304800</v>
      </c>
      <c r="S28" s="230">
        <f t="shared" si="3"/>
        <v>0</v>
      </c>
      <c r="T28" s="91"/>
    </row>
    <row r="29" spans="1:20" ht="23.25" customHeight="1">
      <c r="A29" s="1274"/>
      <c r="B29" s="276" t="s">
        <v>734</v>
      </c>
      <c r="C29" s="1276"/>
      <c r="D29" s="1277"/>
      <c r="E29" s="180">
        <f t="shared" si="6"/>
        <v>304800</v>
      </c>
      <c r="F29" s="207"/>
      <c r="G29" s="207">
        <v>240000</v>
      </c>
      <c r="H29" s="207"/>
      <c r="I29" s="207"/>
      <c r="J29" s="229">
        <v>64800</v>
      </c>
      <c r="K29" s="289">
        <f t="shared" si="7"/>
        <v>304800</v>
      </c>
      <c r="L29" s="208"/>
      <c r="M29" s="208"/>
      <c r="N29" s="208"/>
      <c r="O29" s="208"/>
      <c r="P29" s="131" t="s">
        <v>280</v>
      </c>
      <c r="Q29" s="35"/>
      <c r="R29" s="230">
        <f t="shared" si="2"/>
        <v>304800</v>
      </c>
      <c r="S29" s="230">
        <f t="shared" si="3"/>
        <v>0</v>
      </c>
      <c r="T29" s="91"/>
    </row>
    <row r="30" spans="1:20" s="13" customFormat="1" ht="21.75" customHeight="1">
      <c r="A30" s="1101" t="s">
        <v>20</v>
      </c>
      <c r="B30" s="120"/>
      <c r="C30" s="120"/>
      <c r="D30" s="120"/>
      <c r="E30" s="1080">
        <f aca="true" t="shared" si="8" ref="E30:O30">SUM(E31:E36)</f>
        <v>377451881</v>
      </c>
      <c r="F30" s="1080">
        <f t="shared" si="8"/>
        <v>2616343</v>
      </c>
      <c r="G30" s="1080">
        <f t="shared" si="8"/>
        <v>283841830</v>
      </c>
      <c r="H30" s="1080">
        <f t="shared" si="8"/>
        <v>0</v>
      </c>
      <c r="I30" s="1080">
        <f t="shared" si="8"/>
        <v>15000000</v>
      </c>
      <c r="J30" s="178">
        <f t="shared" si="8"/>
        <v>75993708</v>
      </c>
      <c r="K30" s="1102">
        <f t="shared" si="8"/>
        <v>371140000</v>
      </c>
      <c r="L30" s="1080">
        <f t="shared" si="8"/>
        <v>0</v>
      </c>
      <c r="M30" s="1080">
        <f t="shared" si="8"/>
        <v>3322756</v>
      </c>
      <c r="N30" s="1080">
        <f t="shared" si="8"/>
        <v>0</v>
      </c>
      <c r="O30" s="1080">
        <f t="shared" si="8"/>
        <v>0</v>
      </c>
      <c r="P30" s="178"/>
      <c r="Q30" s="13" t="e">
        <f>+K30+L30+N30+#REF!</f>
        <v>#REF!</v>
      </c>
      <c r="R30" s="230">
        <f t="shared" si="2"/>
        <v>374462756</v>
      </c>
      <c r="S30" s="230">
        <f t="shared" si="3"/>
        <v>-2989125</v>
      </c>
      <c r="T30" s="230" t="e">
        <f>+S30-#REF!</f>
        <v>#REF!</v>
      </c>
    </row>
    <row r="31" spans="1:20" s="524" customFormat="1" ht="24.75" customHeight="1">
      <c r="A31" s="1116" t="s">
        <v>166</v>
      </c>
      <c r="B31" s="1105" t="s">
        <v>165</v>
      </c>
      <c r="C31" s="1117" t="s">
        <v>959</v>
      </c>
      <c r="D31" s="1069">
        <v>9008</v>
      </c>
      <c r="E31" s="1118">
        <f aca="true" t="shared" si="9" ref="E31:E36">SUM(F31:J31)</f>
        <v>3322756</v>
      </c>
      <c r="F31" s="1118">
        <v>2616343</v>
      </c>
      <c r="G31" s="1118"/>
      <c r="H31" s="1118"/>
      <c r="I31" s="1118"/>
      <c r="J31" s="1119">
        <v>706413</v>
      </c>
      <c r="K31" s="1120"/>
      <c r="L31" s="1121"/>
      <c r="M31" s="1130">
        <v>3322756</v>
      </c>
      <c r="N31" s="1121"/>
      <c r="O31" s="1121"/>
      <c r="P31" s="131" t="s">
        <v>280</v>
      </c>
      <c r="R31" s="230">
        <f t="shared" si="2"/>
        <v>3322756</v>
      </c>
      <c r="S31" s="230">
        <f t="shared" si="3"/>
        <v>0</v>
      </c>
      <c r="T31" s="525"/>
    </row>
    <row r="32" spans="1:20" s="524" customFormat="1" ht="24.75" customHeight="1">
      <c r="A32" s="205" t="s">
        <v>653</v>
      </c>
      <c r="B32" s="287" t="s">
        <v>68</v>
      </c>
      <c r="C32" s="117" t="s">
        <v>958</v>
      </c>
      <c r="D32" s="257">
        <v>9009</v>
      </c>
      <c r="E32" s="180">
        <f t="shared" si="9"/>
        <v>2000000</v>
      </c>
      <c r="F32" s="180"/>
      <c r="G32" s="180">
        <v>1574803</v>
      </c>
      <c r="H32" s="180"/>
      <c r="I32" s="180"/>
      <c r="J32" s="278">
        <v>425197</v>
      </c>
      <c r="K32" s="253">
        <v>2000000</v>
      </c>
      <c r="L32" s="240"/>
      <c r="M32" s="240"/>
      <c r="N32" s="240"/>
      <c r="O32" s="1122"/>
      <c r="P32" s="131" t="s">
        <v>280</v>
      </c>
      <c r="R32" s="230">
        <f t="shared" si="2"/>
        <v>2000000</v>
      </c>
      <c r="S32" s="230">
        <f t="shared" si="3"/>
        <v>0</v>
      </c>
      <c r="T32" s="525"/>
    </row>
    <row r="33" spans="1:20" s="524" customFormat="1" ht="24.75" customHeight="1">
      <c r="A33" s="934" t="s">
        <v>168</v>
      </c>
      <c r="B33" s="935" t="s">
        <v>1399</v>
      </c>
      <c r="C33" s="117" t="s">
        <v>1294</v>
      </c>
      <c r="D33" s="257">
        <v>9030</v>
      </c>
      <c r="E33" s="180">
        <f t="shared" si="9"/>
        <v>4989125</v>
      </c>
      <c r="F33" s="180"/>
      <c r="G33" s="180">
        <v>3928445</v>
      </c>
      <c r="H33" s="180"/>
      <c r="I33" s="180"/>
      <c r="J33" s="278">
        <v>1060680</v>
      </c>
      <c r="K33" s="253">
        <v>2000000</v>
      </c>
      <c r="L33" s="240"/>
      <c r="M33" s="240"/>
      <c r="N33" s="240"/>
      <c r="O33" s="1122"/>
      <c r="P33" s="131" t="s">
        <v>280</v>
      </c>
      <c r="R33" s="230"/>
      <c r="S33" s="230"/>
      <c r="T33" s="525"/>
    </row>
    <row r="34" spans="1:20" s="524" customFormat="1" ht="24.75" customHeight="1">
      <c r="A34" s="1112" t="s">
        <v>168</v>
      </c>
      <c r="B34" s="1106" t="s">
        <v>851</v>
      </c>
      <c r="C34" s="117" t="s">
        <v>957</v>
      </c>
      <c r="D34" s="257">
        <v>9010</v>
      </c>
      <c r="E34" s="180">
        <f t="shared" si="9"/>
        <v>20000000</v>
      </c>
      <c r="F34" s="180"/>
      <c r="G34" s="180">
        <v>20000000</v>
      </c>
      <c r="H34" s="180"/>
      <c r="I34" s="180"/>
      <c r="J34" s="278"/>
      <c r="K34" s="253">
        <v>20000000</v>
      </c>
      <c r="L34" s="240"/>
      <c r="M34" s="240"/>
      <c r="N34" s="240"/>
      <c r="O34" s="1122"/>
      <c r="P34" s="131" t="s">
        <v>280</v>
      </c>
      <c r="R34" s="230">
        <f t="shared" si="2"/>
        <v>20000000</v>
      </c>
      <c r="S34" s="230">
        <f t="shared" si="3"/>
        <v>0</v>
      </c>
      <c r="T34" s="525"/>
    </row>
    <row r="35" spans="1:20" s="524" customFormat="1" ht="24.75" customHeight="1">
      <c r="A35" s="1113" t="s">
        <v>168</v>
      </c>
      <c r="B35" s="1108" t="s">
        <v>851</v>
      </c>
      <c r="C35" s="124" t="s">
        <v>952</v>
      </c>
      <c r="D35" s="257">
        <v>9011</v>
      </c>
      <c r="E35" s="180">
        <f t="shared" si="9"/>
        <v>75000000</v>
      </c>
      <c r="F35" s="180"/>
      <c r="G35" s="180">
        <f>39370079-15000000+19685039</f>
        <v>44055118</v>
      </c>
      <c r="H35" s="180"/>
      <c r="I35" s="180">
        <v>15000000</v>
      </c>
      <c r="J35" s="278">
        <f>10629921+5314961</f>
        <v>15944882</v>
      </c>
      <c r="K35" s="253">
        <f>E35</f>
        <v>75000000</v>
      </c>
      <c r="L35" s="240"/>
      <c r="M35" s="240"/>
      <c r="N35" s="240"/>
      <c r="O35" s="1122"/>
      <c r="P35" s="131" t="s">
        <v>280</v>
      </c>
      <c r="R35" s="230">
        <f t="shared" si="2"/>
        <v>75000000</v>
      </c>
      <c r="S35" s="230">
        <f t="shared" si="3"/>
        <v>0</v>
      </c>
      <c r="T35" s="525"/>
    </row>
    <row r="36" spans="1:20" s="524" customFormat="1" ht="35.25" customHeight="1">
      <c r="A36" s="1113" t="s">
        <v>168</v>
      </c>
      <c r="B36" s="1108" t="s">
        <v>851</v>
      </c>
      <c r="C36" s="117" t="s">
        <v>1293</v>
      </c>
      <c r="D36" s="272">
        <v>8015</v>
      </c>
      <c r="E36" s="1123">
        <f t="shared" si="9"/>
        <v>272140000</v>
      </c>
      <c r="F36" s="1123"/>
      <c r="G36" s="1123">
        <f>212598425+1685039</f>
        <v>214283464</v>
      </c>
      <c r="H36" s="1123"/>
      <c r="I36" s="1123"/>
      <c r="J36" s="1124">
        <f>57401575+454961</f>
        <v>57856536</v>
      </c>
      <c r="K36" s="1125">
        <f>E36</f>
        <v>272140000</v>
      </c>
      <c r="L36" s="1126"/>
      <c r="M36" s="1126"/>
      <c r="N36" s="1126"/>
      <c r="O36" s="1127"/>
      <c r="P36" s="132" t="s">
        <v>280</v>
      </c>
      <c r="R36" s="230">
        <f t="shared" si="2"/>
        <v>272140000</v>
      </c>
      <c r="S36" s="230">
        <f t="shared" si="3"/>
        <v>0</v>
      </c>
      <c r="T36" s="525"/>
    </row>
    <row r="37" spans="1:20" s="13" customFormat="1" ht="23.25" customHeight="1">
      <c r="A37" s="1101" t="s">
        <v>21</v>
      </c>
      <c r="B37" s="120"/>
      <c r="C37" s="120"/>
      <c r="D37" s="120"/>
      <c r="E37" s="1080">
        <f aca="true" t="shared" si="10" ref="E37:O37">SUM(E38:E38)</f>
        <v>0</v>
      </c>
      <c r="F37" s="1080">
        <f t="shared" si="10"/>
        <v>0</v>
      </c>
      <c r="G37" s="1080">
        <f t="shared" si="10"/>
        <v>0</v>
      </c>
      <c r="H37" s="1080">
        <f t="shared" si="10"/>
        <v>0</v>
      </c>
      <c r="I37" s="1080">
        <f t="shared" si="10"/>
        <v>0</v>
      </c>
      <c r="J37" s="1080">
        <f t="shared" si="10"/>
        <v>0</v>
      </c>
      <c r="K37" s="1111">
        <f t="shared" si="10"/>
        <v>0</v>
      </c>
      <c r="L37" s="1111">
        <f t="shared" si="10"/>
        <v>0</v>
      </c>
      <c r="M37" s="1111">
        <f t="shared" si="10"/>
        <v>0</v>
      </c>
      <c r="N37" s="1111">
        <f t="shared" si="10"/>
        <v>0</v>
      </c>
      <c r="O37" s="1111">
        <f t="shared" si="10"/>
        <v>0</v>
      </c>
      <c r="P37" s="178"/>
      <c r="Q37" s="13" t="e">
        <f>+K37+L37+N37+#REF!</f>
        <v>#REF!</v>
      </c>
      <c r="R37" s="230">
        <f t="shared" si="2"/>
        <v>0</v>
      </c>
      <c r="S37" s="230">
        <f t="shared" si="3"/>
        <v>0</v>
      </c>
      <c r="T37" s="230">
        <f>+S37-E38</f>
        <v>0</v>
      </c>
    </row>
    <row r="38" spans="1:20" ht="30" customHeight="1">
      <c r="A38" s="164"/>
      <c r="B38" s="276"/>
      <c r="C38" s="117"/>
      <c r="D38" s="257"/>
      <c r="E38" s="180"/>
      <c r="F38" s="180"/>
      <c r="G38" s="180"/>
      <c r="H38" s="180"/>
      <c r="I38" s="180"/>
      <c r="J38" s="278"/>
      <c r="K38" s="253"/>
      <c r="L38" s="240"/>
      <c r="M38" s="240"/>
      <c r="N38" s="240"/>
      <c r="O38" s="482"/>
      <c r="P38" s="130"/>
      <c r="Q38" s="11" t="e">
        <f>+K38+L38+N38+#REF!</f>
        <v>#REF!</v>
      </c>
      <c r="R38" s="230">
        <f t="shared" si="2"/>
        <v>0</v>
      </c>
      <c r="S38" s="230">
        <f t="shared" si="3"/>
        <v>0</v>
      </c>
      <c r="T38" s="29" t="e">
        <f>+S38-#REF!</f>
        <v>#REF!</v>
      </c>
    </row>
    <row r="39" spans="1:20" s="13" customFormat="1" ht="24.75" customHeight="1">
      <c r="A39" s="1101" t="s">
        <v>22</v>
      </c>
      <c r="B39" s="120"/>
      <c r="C39" s="120"/>
      <c r="D39" s="120"/>
      <c r="E39" s="1080">
        <f aca="true" t="shared" si="11" ref="E39:O39">SUM(E40:E61)</f>
        <v>462423426</v>
      </c>
      <c r="F39" s="1080">
        <f t="shared" si="11"/>
        <v>0</v>
      </c>
      <c r="G39" s="1080">
        <f t="shared" si="11"/>
        <v>407046191</v>
      </c>
      <c r="H39" s="1080">
        <f t="shared" si="11"/>
        <v>803701</v>
      </c>
      <c r="I39" s="1080">
        <f t="shared" si="11"/>
        <v>18968129</v>
      </c>
      <c r="J39" s="1080">
        <f t="shared" si="11"/>
        <v>35605405</v>
      </c>
      <c r="K39" s="1111">
        <f t="shared" si="11"/>
        <v>383910187</v>
      </c>
      <c r="L39" s="1111">
        <f t="shared" si="11"/>
        <v>0</v>
      </c>
      <c r="M39" s="1111">
        <f t="shared" si="11"/>
        <v>61622160</v>
      </c>
      <c r="N39" s="1111">
        <f t="shared" si="11"/>
        <v>0</v>
      </c>
      <c r="O39" s="1111">
        <f t="shared" si="11"/>
        <v>10000000</v>
      </c>
      <c r="P39" s="178"/>
      <c r="Q39" s="13" t="e">
        <f>+K39+L39+N39+#REF!</f>
        <v>#REF!</v>
      </c>
      <c r="R39" s="230">
        <f t="shared" si="2"/>
        <v>455532347</v>
      </c>
      <c r="S39" s="230">
        <f t="shared" si="3"/>
        <v>-6891079</v>
      </c>
      <c r="T39" s="230" t="e">
        <f>+S39-#REF!</f>
        <v>#REF!</v>
      </c>
    </row>
    <row r="40" spans="1:20" s="524" customFormat="1" ht="23.25" customHeight="1">
      <c r="A40" s="205" t="s">
        <v>783</v>
      </c>
      <c r="B40" s="287" t="s">
        <v>785</v>
      </c>
      <c r="C40" s="288" t="s">
        <v>784</v>
      </c>
      <c r="D40" s="228">
        <v>8016</v>
      </c>
      <c r="E40" s="180">
        <f aca="true" t="shared" si="12" ref="E40:E61">SUM(F40:J40)</f>
        <v>2000000</v>
      </c>
      <c r="F40" s="207"/>
      <c r="G40" s="207"/>
      <c r="H40" s="207"/>
      <c r="I40" s="207">
        <v>1574803</v>
      </c>
      <c r="J40" s="229">
        <v>425197</v>
      </c>
      <c r="K40" s="289">
        <f aca="true" t="shared" si="13" ref="K40:K59">E40</f>
        <v>2000000</v>
      </c>
      <c r="L40" s="208"/>
      <c r="M40" s="208"/>
      <c r="N40" s="208"/>
      <c r="O40" s="483"/>
      <c r="P40" s="130" t="s">
        <v>280</v>
      </c>
      <c r="R40" s="230">
        <f t="shared" si="2"/>
        <v>2000000</v>
      </c>
      <c r="S40" s="230">
        <f t="shared" si="3"/>
        <v>0</v>
      </c>
      <c r="T40" s="525"/>
    </row>
    <row r="41" spans="1:20" s="942" customFormat="1" ht="23.25" customHeight="1">
      <c r="A41" s="205" t="s">
        <v>169</v>
      </c>
      <c r="B41" s="287" t="s">
        <v>780</v>
      </c>
      <c r="C41" s="288" t="s">
        <v>1302</v>
      </c>
      <c r="D41" s="228"/>
      <c r="E41" s="180"/>
      <c r="F41" s="207"/>
      <c r="G41" s="207"/>
      <c r="H41" s="207"/>
      <c r="I41" s="207"/>
      <c r="J41" s="229"/>
      <c r="K41" s="289"/>
      <c r="L41" s="208"/>
      <c r="M41" s="208"/>
      <c r="N41" s="208"/>
      <c r="O41" s="1019">
        <v>10000000</v>
      </c>
      <c r="P41" s="130" t="s">
        <v>280</v>
      </c>
      <c r="R41" s="943"/>
      <c r="S41" s="943"/>
      <c r="T41" s="944"/>
    </row>
    <row r="42" spans="1:20" s="524" customFormat="1" ht="24.75" customHeight="1">
      <c r="A42" s="205" t="s">
        <v>169</v>
      </c>
      <c r="B42" s="287" t="s">
        <v>780</v>
      </c>
      <c r="C42" s="288" t="s">
        <v>781</v>
      </c>
      <c r="D42" s="228">
        <v>8017</v>
      </c>
      <c r="E42" s="180">
        <f t="shared" si="12"/>
        <v>2000000</v>
      </c>
      <c r="F42" s="207"/>
      <c r="G42" s="207">
        <v>1574803</v>
      </c>
      <c r="H42" s="207"/>
      <c r="I42" s="207"/>
      <c r="J42" s="229">
        <v>425197</v>
      </c>
      <c r="K42" s="289">
        <f t="shared" si="13"/>
        <v>2000000</v>
      </c>
      <c r="L42" s="208"/>
      <c r="M42" s="208"/>
      <c r="N42" s="208"/>
      <c r="O42" s="483"/>
      <c r="P42" s="130" t="s">
        <v>280</v>
      </c>
      <c r="R42" s="230">
        <f t="shared" si="2"/>
        <v>2000000</v>
      </c>
      <c r="S42" s="230">
        <f t="shared" si="3"/>
        <v>0</v>
      </c>
      <c r="T42" s="525"/>
    </row>
    <row r="43" spans="1:20" s="524" customFormat="1" ht="24.75" customHeight="1">
      <c r="A43" s="205" t="s">
        <v>556</v>
      </c>
      <c r="B43" s="287" t="s">
        <v>787</v>
      </c>
      <c r="C43" s="288" t="s">
        <v>786</v>
      </c>
      <c r="D43" s="228">
        <v>8020</v>
      </c>
      <c r="E43" s="180">
        <f t="shared" si="12"/>
        <v>254000</v>
      </c>
      <c r="F43" s="207"/>
      <c r="G43" s="207"/>
      <c r="H43" s="207"/>
      <c r="I43" s="207">
        <v>200000</v>
      </c>
      <c r="J43" s="229">
        <v>54000</v>
      </c>
      <c r="K43" s="289">
        <f t="shared" si="13"/>
        <v>254000</v>
      </c>
      <c r="L43" s="208"/>
      <c r="M43" s="208"/>
      <c r="N43" s="208"/>
      <c r="O43" s="483"/>
      <c r="P43" s="130" t="s">
        <v>280</v>
      </c>
      <c r="R43" s="230">
        <f t="shared" si="2"/>
        <v>254000</v>
      </c>
      <c r="S43" s="230">
        <f t="shared" si="3"/>
        <v>0</v>
      </c>
      <c r="T43" s="525"/>
    </row>
    <row r="44" spans="1:20" s="524" customFormat="1" ht="24.75" customHeight="1">
      <c r="A44" s="205" t="s">
        <v>561</v>
      </c>
      <c r="B44" s="287" t="s">
        <v>718</v>
      </c>
      <c r="C44" s="288" t="s">
        <v>788</v>
      </c>
      <c r="D44" s="228">
        <v>8021</v>
      </c>
      <c r="E44" s="180">
        <f t="shared" si="12"/>
        <v>254000</v>
      </c>
      <c r="F44" s="207"/>
      <c r="G44" s="207"/>
      <c r="H44" s="207"/>
      <c r="I44" s="207">
        <v>200000</v>
      </c>
      <c r="J44" s="229">
        <v>54000</v>
      </c>
      <c r="K44" s="289">
        <f t="shared" si="13"/>
        <v>254000</v>
      </c>
      <c r="L44" s="208"/>
      <c r="M44" s="208"/>
      <c r="N44" s="208"/>
      <c r="O44" s="483"/>
      <c r="P44" s="130" t="s">
        <v>280</v>
      </c>
      <c r="R44" s="230">
        <f t="shared" si="2"/>
        <v>254000</v>
      </c>
      <c r="S44" s="230">
        <f t="shared" si="3"/>
        <v>0</v>
      </c>
      <c r="T44" s="525"/>
    </row>
    <row r="45" spans="1:20" s="524" customFormat="1" ht="24.75" customHeight="1">
      <c r="A45" s="205" t="s">
        <v>563</v>
      </c>
      <c r="B45" s="287" t="s">
        <v>718</v>
      </c>
      <c r="C45" s="288" t="s">
        <v>789</v>
      </c>
      <c r="D45" s="228">
        <v>8022</v>
      </c>
      <c r="E45" s="180">
        <f t="shared" si="12"/>
        <v>1270000</v>
      </c>
      <c r="F45" s="207"/>
      <c r="G45" s="207"/>
      <c r="H45" s="207"/>
      <c r="I45" s="207">
        <v>1000000</v>
      </c>
      <c r="J45" s="229">
        <v>270000</v>
      </c>
      <c r="K45" s="289">
        <f t="shared" si="13"/>
        <v>1270000</v>
      </c>
      <c r="L45" s="208"/>
      <c r="M45" s="208"/>
      <c r="N45" s="208"/>
      <c r="O45" s="483"/>
      <c r="P45" s="135" t="s">
        <v>281</v>
      </c>
      <c r="R45" s="230">
        <f t="shared" si="2"/>
        <v>1270000</v>
      </c>
      <c r="S45" s="230">
        <f t="shared" si="3"/>
        <v>0</v>
      </c>
      <c r="T45" s="525"/>
    </row>
    <row r="46" spans="1:20" s="524" customFormat="1" ht="24.75" customHeight="1">
      <c r="A46" s="205" t="s">
        <v>563</v>
      </c>
      <c r="B46" s="287" t="s">
        <v>718</v>
      </c>
      <c r="C46" s="288" t="s">
        <v>942</v>
      </c>
      <c r="D46" s="228">
        <v>9012</v>
      </c>
      <c r="E46" s="180">
        <f t="shared" si="12"/>
        <v>7387590</v>
      </c>
      <c r="F46" s="207"/>
      <c r="G46" s="207">
        <v>5817000</v>
      </c>
      <c r="H46" s="207"/>
      <c r="I46" s="207"/>
      <c r="J46" s="229">
        <v>1570590</v>
      </c>
      <c r="K46" s="289">
        <f t="shared" si="13"/>
        <v>7387590</v>
      </c>
      <c r="L46" s="208"/>
      <c r="M46" s="208"/>
      <c r="N46" s="208"/>
      <c r="O46" s="483"/>
      <c r="P46" s="135" t="s">
        <v>281</v>
      </c>
      <c r="R46" s="230">
        <f t="shared" si="2"/>
        <v>7387590</v>
      </c>
      <c r="S46" s="230">
        <f t="shared" si="3"/>
        <v>0</v>
      </c>
      <c r="T46" s="525"/>
    </row>
    <row r="47" spans="1:20" s="524" customFormat="1" ht="24.75" customHeight="1">
      <c r="A47" s="373" t="s">
        <v>891</v>
      </c>
      <c r="B47" s="287" t="s">
        <v>893</v>
      </c>
      <c r="C47" s="288" t="s">
        <v>892</v>
      </c>
      <c r="D47" s="228">
        <v>9013</v>
      </c>
      <c r="E47" s="180">
        <f t="shared" si="12"/>
        <v>127000</v>
      </c>
      <c r="F47" s="207"/>
      <c r="G47" s="207"/>
      <c r="H47" s="207"/>
      <c r="I47" s="207">
        <v>100000</v>
      </c>
      <c r="J47" s="229">
        <v>27000</v>
      </c>
      <c r="K47" s="289">
        <v>127000</v>
      </c>
      <c r="L47" s="208"/>
      <c r="M47" s="264"/>
      <c r="N47" s="208"/>
      <c r="O47" s="483"/>
      <c r="P47" s="135" t="s">
        <v>281</v>
      </c>
      <c r="R47" s="230">
        <f t="shared" si="2"/>
        <v>127000</v>
      </c>
      <c r="S47" s="230">
        <f t="shared" si="3"/>
        <v>0</v>
      </c>
      <c r="T47" s="525"/>
    </row>
    <row r="48" spans="1:20" ht="24.75" customHeight="1">
      <c r="A48" s="205" t="s">
        <v>653</v>
      </c>
      <c r="B48" s="287" t="s">
        <v>68</v>
      </c>
      <c r="C48" s="288" t="s">
        <v>804</v>
      </c>
      <c r="D48" s="228">
        <v>9014</v>
      </c>
      <c r="E48" s="180">
        <f t="shared" si="12"/>
        <v>7106857</v>
      </c>
      <c r="F48" s="207"/>
      <c r="G48" s="207">
        <f>510800+1933550+980000</f>
        <v>3424350</v>
      </c>
      <c r="H48" s="207"/>
      <c r="I48" s="207">
        <f>400000+485800+324000+360000+601800</f>
        <v>2171600</v>
      </c>
      <c r="J48" s="229">
        <f>108000+131166+137916+87480+97200+162486+522059+264600</f>
        <v>1510907</v>
      </c>
      <c r="K48" s="289">
        <f t="shared" si="13"/>
        <v>7106857</v>
      </c>
      <c r="L48" s="208"/>
      <c r="M48" s="208"/>
      <c r="N48" s="208"/>
      <c r="O48" s="483"/>
      <c r="P48" s="135" t="s">
        <v>281</v>
      </c>
      <c r="R48" s="230">
        <f t="shared" si="2"/>
        <v>7106857</v>
      </c>
      <c r="S48" s="230">
        <f t="shared" si="3"/>
        <v>0</v>
      </c>
      <c r="T48" s="29"/>
    </row>
    <row r="49" spans="1:20" s="524" customFormat="1" ht="27.75" customHeight="1">
      <c r="A49" s="205" t="s">
        <v>1400</v>
      </c>
      <c r="B49" s="287" t="s">
        <v>827</v>
      </c>
      <c r="C49" s="288" t="s">
        <v>950</v>
      </c>
      <c r="D49" s="228">
        <v>8023</v>
      </c>
      <c r="E49" s="180">
        <f t="shared" si="12"/>
        <v>61781665</v>
      </c>
      <c r="F49" s="207"/>
      <c r="G49" s="207">
        <f>48646700+280</f>
        <v>48646980</v>
      </c>
      <c r="H49" s="207"/>
      <c r="I49" s="207"/>
      <c r="J49" s="229">
        <f>13134609+76</f>
        <v>13134685</v>
      </c>
      <c r="K49" s="289">
        <f>+E49-M49</f>
        <v>41968270</v>
      </c>
      <c r="L49" s="208"/>
      <c r="M49" s="264">
        <v>19813395</v>
      </c>
      <c r="N49" s="208"/>
      <c r="O49" s="483"/>
      <c r="P49" s="130" t="s">
        <v>280</v>
      </c>
      <c r="R49" s="230">
        <f t="shared" si="2"/>
        <v>61781665</v>
      </c>
      <c r="S49" s="230">
        <f t="shared" si="3"/>
        <v>0</v>
      </c>
      <c r="T49" s="525"/>
    </row>
    <row r="50" spans="1:20" s="524" customFormat="1" ht="27.75" customHeight="1">
      <c r="A50" s="205" t="s">
        <v>1401</v>
      </c>
      <c r="B50" s="287" t="s">
        <v>827</v>
      </c>
      <c r="C50" s="288" t="s">
        <v>951</v>
      </c>
      <c r="D50" s="228">
        <v>9015</v>
      </c>
      <c r="E50" s="180">
        <f t="shared" si="12"/>
        <v>19750447</v>
      </c>
      <c r="F50" s="207"/>
      <c r="G50" s="207">
        <f>15552128-595</f>
        <v>15551533</v>
      </c>
      <c r="H50" s="207"/>
      <c r="I50" s="207"/>
      <c r="J50" s="229">
        <f>4199075-161</f>
        <v>4198914</v>
      </c>
      <c r="K50" s="289">
        <f t="shared" si="13"/>
        <v>19750447</v>
      </c>
      <c r="L50" s="208"/>
      <c r="M50" s="208"/>
      <c r="N50" s="208"/>
      <c r="O50" s="483"/>
      <c r="P50" s="130" t="s">
        <v>280</v>
      </c>
      <c r="R50" s="230">
        <f t="shared" si="2"/>
        <v>19750447</v>
      </c>
      <c r="S50" s="230">
        <f t="shared" si="3"/>
        <v>0</v>
      </c>
      <c r="T50" s="525"/>
    </row>
    <row r="51" spans="1:20" s="524" customFormat="1" ht="26.25" customHeight="1">
      <c r="A51" s="373" t="s">
        <v>554</v>
      </c>
      <c r="B51" s="287" t="s">
        <v>81</v>
      </c>
      <c r="C51" s="124" t="s">
        <v>782</v>
      </c>
      <c r="D51" s="211">
        <v>8024</v>
      </c>
      <c r="E51" s="180">
        <f t="shared" si="12"/>
        <v>1000000</v>
      </c>
      <c r="F51" s="207"/>
      <c r="G51" s="207"/>
      <c r="H51" s="207">
        <v>410000</v>
      </c>
      <c r="I51" s="207">
        <f>317402+60000</f>
        <v>377402</v>
      </c>
      <c r="J51" s="229">
        <v>212598</v>
      </c>
      <c r="K51" s="289">
        <f t="shared" si="13"/>
        <v>1000000</v>
      </c>
      <c r="L51" s="208"/>
      <c r="M51" s="208"/>
      <c r="N51" s="208"/>
      <c r="O51" s="483"/>
      <c r="P51" s="130" t="s">
        <v>280</v>
      </c>
      <c r="R51" s="230">
        <f t="shared" si="2"/>
        <v>1000000</v>
      </c>
      <c r="S51" s="230">
        <f t="shared" si="3"/>
        <v>0</v>
      </c>
      <c r="T51" s="525"/>
    </row>
    <row r="52" spans="1:20" s="524" customFormat="1" ht="26.25" customHeight="1">
      <c r="A52" s="373" t="s">
        <v>170</v>
      </c>
      <c r="B52" s="287" t="s">
        <v>858</v>
      </c>
      <c r="C52" s="124" t="s">
        <v>890</v>
      </c>
      <c r="D52" s="211">
        <v>9016</v>
      </c>
      <c r="E52" s="180">
        <f t="shared" si="12"/>
        <v>8000000</v>
      </c>
      <c r="F52" s="207"/>
      <c r="G52" s="207"/>
      <c r="H52" s="207"/>
      <c r="I52" s="207">
        <v>6299212</v>
      </c>
      <c r="J52" s="229">
        <v>1700788</v>
      </c>
      <c r="K52" s="289">
        <v>8000000</v>
      </c>
      <c r="L52" s="208"/>
      <c r="M52" s="208"/>
      <c r="N52" s="208"/>
      <c r="O52" s="483"/>
      <c r="P52" s="130" t="s">
        <v>280</v>
      </c>
      <c r="R52" s="230">
        <f t="shared" si="2"/>
        <v>8000000</v>
      </c>
      <c r="S52" s="230">
        <f t="shared" si="3"/>
        <v>0</v>
      </c>
      <c r="T52" s="525"/>
    </row>
    <row r="53" spans="1:20" s="524" customFormat="1" ht="26.25" customHeight="1">
      <c r="A53" s="373" t="s">
        <v>170</v>
      </c>
      <c r="B53" s="287" t="s">
        <v>858</v>
      </c>
      <c r="C53" s="124" t="s">
        <v>961</v>
      </c>
      <c r="D53" s="211">
        <v>9017</v>
      </c>
      <c r="E53" s="180">
        <f t="shared" si="12"/>
        <v>500000</v>
      </c>
      <c r="F53" s="207"/>
      <c r="G53" s="207"/>
      <c r="H53" s="207">
        <v>393701</v>
      </c>
      <c r="I53" s="207"/>
      <c r="J53" s="229">
        <v>106299</v>
      </c>
      <c r="K53" s="289">
        <v>500000</v>
      </c>
      <c r="L53" s="208"/>
      <c r="M53" s="208"/>
      <c r="N53" s="208"/>
      <c r="O53" s="483"/>
      <c r="P53" s="130" t="s">
        <v>280</v>
      </c>
      <c r="R53" s="230">
        <f t="shared" si="2"/>
        <v>500000</v>
      </c>
      <c r="S53" s="230">
        <f t="shared" si="3"/>
        <v>0</v>
      </c>
      <c r="T53" s="525"/>
    </row>
    <row r="54" spans="1:20" s="524" customFormat="1" ht="24.75" customHeight="1">
      <c r="A54" s="373" t="s">
        <v>1402</v>
      </c>
      <c r="B54" s="287" t="s">
        <v>83</v>
      </c>
      <c r="C54" s="124" t="s">
        <v>846</v>
      </c>
      <c r="D54" s="211">
        <v>8027</v>
      </c>
      <c r="E54" s="180">
        <f t="shared" si="12"/>
        <v>8788542</v>
      </c>
      <c r="F54" s="207"/>
      <c r="G54" s="207"/>
      <c r="H54" s="207"/>
      <c r="I54" s="207">
        <f>6919685+427</f>
        <v>6920112</v>
      </c>
      <c r="J54" s="229">
        <f>1868315+115</f>
        <v>1868430</v>
      </c>
      <c r="K54" s="289">
        <f t="shared" si="13"/>
        <v>8788542</v>
      </c>
      <c r="L54" s="208"/>
      <c r="M54" s="208"/>
      <c r="N54" s="208"/>
      <c r="O54" s="483"/>
      <c r="P54" s="130" t="s">
        <v>280</v>
      </c>
      <c r="R54" s="230">
        <f t="shared" si="2"/>
        <v>8788542</v>
      </c>
      <c r="S54" s="230">
        <f t="shared" si="3"/>
        <v>0</v>
      </c>
      <c r="T54" s="525"/>
    </row>
    <row r="55" spans="1:20" ht="26.25" customHeight="1">
      <c r="A55" s="373" t="s">
        <v>735</v>
      </c>
      <c r="B55" s="287" t="s">
        <v>851</v>
      </c>
      <c r="C55" s="288" t="s">
        <v>850</v>
      </c>
      <c r="D55" s="211">
        <v>7078</v>
      </c>
      <c r="E55" s="180">
        <f t="shared" si="12"/>
        <v>7620000</v>
      </c>
      <c r="F55" s="207"/>
      <c r="G55" s="207">
        <v>6000000</v>
      </c>
      <c r="H55" s="207"/>
      <c r="I55" s="207"/>
      <c r="J55" s="229">
        <v>1620000</v>
      </c>
      <c r="K55" s="289">
        <f t="shared" si="13"/>
        <v>7620000</v>
      </c>
      <c r="L55" s="208"/>
      <c r="M55" s="208"/>
      <c r="N55" s="208"/>
      <c r="O55" s="483"/>
      <c r="P55" s="135" t="s">
        <v>281</v>
      </c>
      <c r="R55" s="230">
        <f t="shared" si="2"/>
        <v>7620000</v>
      </c>
      <c r="S55" s="230">
        <f t="shared" si="3"/>
        <v>0</v>
      </c>
      <c r="T55" s="29"/>
    </row>
    <row r="56" spans="1:20" ht="26.25" customHeight="1">
      <c r="A56" s="373" t="s">
        <v>1295</v>
      </c>
      <c r="B56" s="936" t="s">
        <v>1405</v>
      </c>
      <c r="C56" s="288" t="s">
        <v>1473</v>
      </c>
      <c r="D56" s="937">
        <v>9020</v>
      </c>
      <c r="E56" s="180">
        <f t="shared" si="12"/>
        <v>2209800</v>
      </c>
      <c r="F56" s="207"/>
      <c r="G56" s="207">
        <v>1740000</v>
      </c>
      <c r="H56" s="207"/>
      <c r="I56" s="207"/>
      <c r="J56" s="229">
        <v>469800</v>
      </c>
      <c r="K56" s="289">
        <f t="shared" si="13"/>
        <v>2209800</v>
      </c>
      <c r="L56" s="208"/>
      <c r="M56" s="208"/>
      <c r="N56" s="208"/>
      <c r="O56" s="483"/>
      <c r="P56" s="130" t="s">
        <v>280</v>
      </c>
      <c r="R56" s="230"/>
      <c r="S56" s="230"/>
      <c r="T56" s="29"/>
    </row>
    <row r="57" spans="1:20" ht="26.25" customHeight="1">
      <c r="A57" s="373" t="s">
        <v>1296</v>
      </c>
      <c r="B57" s="936" t="s">
        <v>1406</v>
      </c>
      <c r="C57" s="288" t="s">
        <v>1474</v>
      </c>
      <c r="D57" s="937">
        <v>9021</v>
      </c>
      <c r="E57" s="180">
        <f t="shared" si="12"/>
        <v>3733800</v>
      </c>
      <c r="F57" s="207"/>
      <c r="G57" s="207">
        <f>1960000+980000</f>
        <v>2940000</v>
      </c>
      <c r="H57" s="207"/>
      <c r="I57" s="207"/>
      <c r="J57" s="229">
        <f>529200+264600</f>
        <v>793800</v>
      </c>
      <c r="K57" s="289">
        <f t="shared" si="13"/>
        <v>3733800</v>
      </c>
      <c r="L57" s="208"/>
      <c r="M57" s="208"/>
      <c r="N57" s="208"/>
      <c r="O57" s="483"/>
      <c r="P57" s="130" t="s">
        <v>280</v>
      </c>
      <c r="R57" s="230"/>
      <c r="S57" s="230"/>
      <c r="T57" s="29"/>
    </row>
    <row r="58" spans="1:20" ht="26.25" customHeight="1">
      <c r="A58" s="373" t="s">
        <v>1403</v>
      </c>
      <c r="B58" s="287" t="s">
        <v>731</v>
      </c>
      <c r="C58" s="117" t="s">
        <v>969</v>
      </c>
      <c r="D58" s="211">
        <v>9018</v>
      </c>
      <c r="E58" s="180">
        <f t="shared" si="12"/>
        <v>4424998</v>
      </c>
      <c r="F58" s="207"/>
      <c r="G58" s="207">
        <f>800000+2559250</f>
        <v>3359250</v>
      </c>
      <c r="H58" s="207"/>
      <c r="I58" s="207">
        <v>125000</v>
      </c>
      <c r="J58" s="229">
        <f>216000+690998+33750</f>
        <v>940748</v>
      </c>
      <c r="K58" s="289">
        <f t="shared" si="13"/>
        <v>4424998</v>
      </c>
      <c r="L58" s="208"/>
      <c r="M58" s="208"/>
      <c r="N58" s="208"/>
      <c r="O58" s="483"/>
      <c r="P58" s="676" t="s">
        <v>280</v>
      </c>
      <c r="R58" s="230"/>
      <c r="S58" s="230"/>
      <c r="T58" s="29"/>
    </row>
    <row r="59" spans="1:20" ht="26.25" customHeight="1">
      <c r="A59" s="373" t="s">
        <v>1288</v>
      </c>
      <c r="B59" s="287" t="s">
        <v>1407</v>
      </c>
      <c r="C59" s="124" t="s">
        <v>1287</v>
      </c>
      <c r="D59" s="211">
        <v>9022</v>
      </c>
      <c r="E59" s="180">
        <f t="shared" si="12"/>
        <v>2891790</v>
      </c>
      <c r="F59" s="207"/>
      <c r="G59" s="207">
        <v>2277000</v>
      </c>
      <c r="H59" s="207"/>
      <c r="I59" s="207"/>
      <c r="J59" s="229">
        <v>614790</v>
      </c>
      <c r="K59" s="289">
        <f t="shared" si="13"/>
        <v>2891790</v>
      </c>
      <c r="L59" s="208"/>
      <c r="M59" s="208"/>
      <c r="N59" s="208"/>
      <c r="O59" s="483"/>
      <c r="P59" s="130" t="s">
        <v>280</v>
      </c>
      <c r="R59" s="230"/>
      <c r="S59" s="230"/>
      <c r="T59" s="29"/>
    </row>
    <row r="60" spans="1:20" s="524" customFormat="1" ht="27.75" customHeight="1">
      <c r="A60" s="373" t="s">
        <v>1404</v>
      </c>
      <c r="B60" s="287" t="s">
        <v>212</v>
      </c>
      <c r="C60" s="124" t="s">
        <v>934</v>
      </c>
      <c r="D60" s="211">
        <v>8044</v>
      </c>
      <c r="E60" s="180">
        <f t="shared" si="12"/>
        <v>180957847</v>
      </c>
      <c r="F60" s="207"/>
      <c r="G60" s="207">
        <f>154700768+6624803+750000+6259180+6253480+787402</f>
        <v>175375633</v>
      </c>
      <c r="H60" s="207"/>
      <c r="I60" s="207"/>
      <c r="J60" s="229">
        <f>1788697+202500+1689979+1688440+212598</f>
        <v>5582214</v>
      </c>
      <c r="K60" s="289">
        <v>164066768</v>
      </c>
      <c r="L60" s="208"/>
      <c r="M60" s="208"/>
      <c r="N60" s="208"/>
      <c r="O60" s="483"/>
      <c r="P60" s="130" t="s">
        <v>280</v>
      </c>
      <c r="R60" s="230">
        <f t="shared" si="2"/>
        <v>164066768</v>
      </c>
      <c r="S60" s="230">
        <f t="shared" si="3"/>
        <v>-16891079</v>
      </c>
      <c r="T60" s="525"/>
    </row>
    <row r="61" spans="1:20" s="524" customFormat="1" ht="24.75" customHeight="1">
      <c r="A61" s="1128" t="s">
        <v>803</v>
      </c>
      <c r="B61" s="287" t="s">
        <v>212</v>
      </c>
      <c r="C61" s="124" t="s">
        <v>928</v>
      </c>
      <c r="D61" s="211">
        <v>7057</v>
      </c>
      <c r="E61" s="180">
        <f t="shared" si="12"/>
        <v>140365090</v>
      </c>
      <c r="F61" s="207"/>
      <c r="G61" s="207">
        <f>140245406+94236</f>
        <v>140339642</v>
      </c>
      <c r="H61" s="207"/>
      <c r="I61" s="207"/>
      <c r="J61" s="229">
        <v>25448</v>
      </c>
      <c r="K61" s="289">
        <f>+E61-M61</f>
        <v>98556325</v>
      </c>
      <c r="L61" s="208"/>
      <c r="M61" s="264">
        <v>41808765</v>
      </c>
      <c r="N61" s="208"/>
      <c r="O61" s="483"/>
      <c r="P61" s="130" t="s">
        <v>280</v>
      </c>
      <c r="R61" s="230">
        <f t="shared" si="2"/>
        <v>140365090</v>
      </c>
      <c r="S61" s="230">
        <f t="shared" si="3"/>
        <v>0</v>
      </c>
      <c r="T61" s="525"/>
    </row>
    <row r="62" spans="1:20" ht="21.75" customHeight="1">
      <c r="A62" s="14" t="s">
        <v>28</v>
      </c>
      <c r="B62" s="15"/>
      <c r="C62" s="15"/>
      <c r="D62" s="15"/>
      <c r="E62" s="162">
        <f aca="true" t="shared" si="14" ref="E62:P62">+E39+E37+E30+E18+E10+E7</f>
        <v>1473671853.8976378</v>
      </c>
      <c r="F62" s="162">
        <f t="shared" si="14"/>
        <v>2616343</v>
      </c>
      <c r="G62" s="162">
        <f t="shared" si="14"/>
        <v>1276418270.8976378</v>
      </c>
      <c r="H62" s="162">
        <f t="shared" si="14"/>
        <v>6189528</v>
      </c>
      <c r="I62" s="162">
        <f t="shared" si="14"/>
        <v>33968129</v>
      </c>
      <c r="J62" s="163">
        <f t="shared" si="14"/>
        <v>154479583</v>
      </c>
      <c r="K62" s="235">
        <f t="shared" si="14"/>
        <v>1248519204.8976378</v>
      </c>
      <c r="L62" s="162">
        <f t="shared" si="14"/>
        <v>6840000</v>
      </c>
      <c r="M62" s="162">
        <f t="shared" si="14"/>
        <v>153593700</v>
      </c>
      <c r="N62" s="162">
        <f t="shared" si="14"/>
        <v>0</v>
      </c>
      <c r="O62" s="162">
        <f t="shared" si="14"/>
        <v>10000000</v>
      </c>
      <c r="P62" s="178">
        <f t="shared" si="14"/>
        <v>0</v>
      </c>
      <c r="Q62" s="11" t="e">
        <f>+K62+L62+N62+#REF!</f>
        <v>#REF!</v>
      </c>
      <c r="R62" s="230">
        <f t="shared" si="2"/>
        <v>1418952904.8976378</v>
      </c>
      <c r="S62" s="230">
        <f t="shared" si="3"/>
        <v>-54718949</v>
      </c>
      <c r="T62" s="29">
        <f>+S62-E63</f>
        <v>-117628628</v>
      </c>
    </row>
    <row r="63" spans="1:19" s="13" customFormat="1" ht="19.5" customHeight="1">
      <c r="A63" s="231" t="s">
        <v>23</v>
      </c>
      <c r="B63" s="232"/>
      <c r="C63" s="232"/>
      <c r="D63" s="232"/>
      <c r="E63" s="233">
        <f aca="true" t="shared" si="15" ref="E63:O63">SUM(E64:E95)</f>
        <v>62909679</v>
      </c>
      <c r="F63" s="233">
        <f t="shared" si="15"/>
        <v>1450000</v>
      </c>
      <c r="G63" s="233">
        <f t="shared" si="15"/>
        <v>0</v>
      </c>
      <c r="H63" s="233">
        <f t="shared" si="15"/>
        <v>5269631</v>
      </c>
      <c r="I63" s="233">
        <f t="shared" si="15"/>
        <v>42743106</v>
      </c>
      <c r="J63" s="233">
        <f t="shared" si="15"/>
        <v>13446942</v>
      </c>
      <c r="K63" s="236">
        <f t="shared" si="15"/>
        <v>62909679</v>
      </c>
      <c r="L63" s="233">
        <f t="shared" si="15"/>
        <v>0</v>
      </c>
      <c r="M63" s="233">
        <f t="shared" si="15"/>
        <v>0</v>
      </c>
      <c r="N63" s="233">
        <f t="shared" si="15"/>
        <v>0</v>
      </c>
      <c r="O63" s="233">
        <f t="shared" si="15"/>
        <v>0</v>
      </c>
      <c r="P63" s="234"/>
      <c r="Q63" s="13" t="e">
        <f>+K63+L63+N63+#REF!</f>
        <v>#REF!</v>
      </c>
      <c r="R63" s="230">
        <f t="shared" si="2"/>
        <v>62909679</v>
      </c>
      <c r="S63" s="230">
        <f t="shared" si="3"/>
        <v>0</v>
      </c>
    </row>
    <row r="64" spans="1:19" ht="21" customHeight="1">
      <c r="A64" s="133" t="s">
        <v>103</v>
      </c>
      <c r="B64" s="26" t="s">
        <v>81</v>
      </c>
      <c r="C64" s="145" t="s">
        <v>204</v>
      </c>
      <c r="D64" s="12">
        <v>9101</v>
      </c>
      <c r="E64" s="149">
        <f aca="true" t="shared" si="16" ref="E64:E95">SUM(F64:J64)</f>
        <v>8509000</v>
      </c>
      <c r="F64" s="149">
        <v>1300000</v>
      </c>
      <c r="G64" s="149"/>
      <c r="H64" s="149">
        <v>2900000</v>
      </c>
      <c r="I64" s="149">
        <v>2500000</v>
      </c>
      <c r="J64" s="157">
        <v>1809000</v>
      </c>
      <c r="K64" s="214">
        <f>E64</f>
        <v>8509000</v>
      </c>
      <c r="L64" s="22"/>
      <c r="M64" s="22"/>
      <c r="N64" s="22"/>
      <c r="O64" s="484"/>
      <c r="P64" s="132" t="s">
        <v>280</v>
      </c>
      <c r="Q64" s="11" t="e">
        <f>+K64+L64+N64+#REF!</f>
        <v>#REF!</v>
      </c>
      <c r="R64" s="230">
        <f t="shared" si="2"/>
        <v>8509000</v>
      </c>
      <c r="S64" s="230">
        <f t="shared" si="3"/>
        <v>0</v>
      </c>
    </row>
    <row r="65" spans="1:19" ht="21" customHeight="1">
      <c r="A65" s="133" t="s">
        <v>166</v>
      </c>
      <c r="B65" s="26" t="s">
        <v>206</v>
      </c>
      <c r="C65" s="145" t="s">
        <v>205</v>
      </c>
      <c r="D65" s="12">
        <v>9102</v>
      </c>
      <c r="E65" s="149">
        <f t="shared" si="16"/>
        <v>444500</v>
      </c>
      <c r="F65" s="149">
        <v>50000</v>
      </c>
      <c r="G65" s="149"/>
      <c r="H65" s="149">
        <v>100000</v>
      </c>
      <c r="I65" s="149">
        <v>200000</v>
      </c>
      <c r="J65" s="157">
        <v>94500</v>
      </c>
      <c r="K65" s="214">
        <f aca="true" t="shared" si="17" ref="K65:K95">E65</f>
        <v>444500</v>
      </c>
      <c r="L65" s="22"/>
      <c r="M65" s="22"/>
      <c r="N65" s="22"/>
      <c r="O65" s="484"/>
      <c r="P65" s="135" t="s">
        <v>282</v>
      </c>
      <c r="Q65" s="11" t="e">
        <f>+K65+L65+N65+#REF!</f>
        <v>#REF!</v>
      </c>
      <c r="R65" s="230">
        <f t="shared" si="2"/>
        <v>444500</v>
      </c>
      <c r="S65" s="230">
        <f t="shared" si="3"/>
        <v>0</v>
      </c>
    </row>
    <row r="66" spans="1:19" ht="21" customHeight="1">
      <c r="A66" s="133" t="s">
        <v>190</v>
      </c>
      <c r="B66" s="26" t="s">
        <v>626</v>
      </c>
      <c r="C66" s="145" t="s">
        <v>627</v>
      </c>
      <c r="D66" s="12">
        <v>9103</v>
      </c>
      <c r="E66" s="149">
        <f t="shared" si="16"/>
        <v>127000</v>
      </c>
      <c r="F66" s="149"/>
      <c r="G66" s="149"/>
      <c r="H66" s="149"/>
      <c r="I66" s="149">
        <v>100000</v>
      </c>
      <c r="J66" s="157">
        <v>27000</v>
      </c>
      <c r="K66" s="214">
        <f t="shared" si="17"/>
        <v>127000</v>
      </c>
      <c r="L66" s="22"/>
      <c r="M66" s="22"/>
      <c r="N66" s="22"/>
      <c r="O66" s="484"/>
      <c r="P66" s="135" t="s">
        <v>282</v>
      </c>
      <c r="R66" s="230">
        <f t="shared" si="2"/>
        <v>127000</v>
      </c>
      <c r="S66" s="230">
        <f t="shared" si="3"/>
        <v>0</v>
      </c>
    </row>
    <row r="67" spans="1:19" ht="21" customHeight="1">
      <c r="A67" s="431" t="s">
        <v>72</v>
      </c>
      <c r="B67" s="26" t="s">
        <v>81</v>
      </c>
      <c r="C67" s="145" t="s">
        <v>926</v>
      </c>
      <c r="D67" s="12">
        <v>9104</v>
      </c>
      <c r="E67" s="149">
        <f t="shared" si="16"/>
        <v>317500</v>
      </c>
      <c r="F67" s="149"/>
      <c r="G67" s="149"/>
      <c r="H67" s="149"/>
      <c r="I67" s="149">
        <v>250000</v>
      </c>
      <c r="J67" s="157">
        <v>67500</v>
      </c>
      <c r="K67" s="214">
        <f t="shared" si="17"/>
        <v>317500</v>
      </c>
      <c r="L67" s="22"/>
      <c r="M67" s="22"/>
      <c r="N67" s="22"/>
      <c r="O67" s="484"/>
      <c r="P67" s="132" t="s">
        <v>280</v>
      </c>
      <c r="R67" s="230">
        <f t="shared" si="2"/>
        <v>317500</v>
      </c>
      <c r="S67" s="230">
        <f t="shared" si="3"/>
        <v>0</v>
      </c>
    </row>
    <row r="68" spans="1:19" ht="21" customHeight="1">
      <c r="A68" s="133" t="s">
        <v>103</v>
      </c>
      <c r="B68" s="26" t="s">
        <v>743</v>
      </c>
      <c r="C68" s="145" t="s">
        <v>24</v>
      </c>
      <c r="D68" s="12">
        <v>9151</v>
      </c>
      <c r="E68" s="149">
        <f t="shared" si="16"/>
        <v>714193</v>
      </c>
      <c r="F68" s="149"/>
      <c r="G68" s="149"/>
      <c r="H68" s="149"/>
      <c r="I68" s="149">
        <f>500000+62357</f>
        <v>562357</v>
      </c>
      <c r="J68" s="157">
        <f>135000+16836</f>
        <v>151836</v>
      </c>
      <c r="K68" s="214">
        <f t="shared" si="17"/>
        <v>714193</v>
      </c>
      <c r="L68" s="22"/>
      <c r="M68" s="22"/>
      <c r="N68" s="22"/>
      <c r="O68" s="484"/>
      <c r="P68" s="132" t="s">
        <v>280</v>
      </c>
      <c r="Q68" s="11" t="e">
        <f>+K68+L68+N68+#REF!</f>
        <v>#REF!</v>
      </c>
      <c r="R68" s="230">
        <f t="shared" si="2"/>
        <v>714193</v>
      </c>
      <c r="S68" s="230">
        <f t="shared" si="3"/>
        <v>0</v>
      </c>
    </row>
    <row r="69" spans="1:19" ht="21" customHeight="1">
      <c r="A69" s="39" t="s">
        <v>166</v>
      </c>
      <c r="B69" s="27" t="s">
        <v>731</v>
      </c>
      <c r="C69" s="145" t="s">
        <v>24</v>
      </c>
      <c r="D69" s="12">
        <v>9152</v>
      </c>
      <c r="E69" s="149">
        <f t="shared" si="16"/>
        <v>508000</v>
      </c>
      <c r="F69" s="149"/>
      <c r="G69" s="149"/>
      <c r="H69" s="149">
        <v>50000</v>
      </c>
      <c r="I69" s="149">
        <f>350000</f>
        <v>350000</v>
      </c>
      <c r="J69" s="157">
        <f>108000</f>
        <v>108000</v>
      </c>
      <c r="K69" s="214">
        <f t="shared" si="17"/>
        <v>508000</v>
      </c>
      <c r="L69" s="22"/>
      <c r="M69" s="22"/>
      <c r="N69" s="22"/>
      <c r="O69" s="484"/>
      <c r="P69" s="132" t="s">
        <v>280</v>
      </c>
      <c r="Q69" s="11" t="e">
        <f>+K69+L69+N69+#REF!</f>
        <v>#REF!</v>
      </c>
      <c r="R69" s="230">
        <f t="shared" si="2"/>
        <v>508000</v>
      </c>
      <c r="S69" s="230">
        <f t="shared" si="3"/>
        <v>0</v>
      </c>
    </row>
    <row r="70" spans="1:19" ht="21" customHeight="1">
      <c r="A70" s="478" t="s">
        <v>190</v>
      </c>
      <c r="B70" s="27" t="s">
        <v>731</v>
      </c>
      <c r="C70" s="145" t="s">
        <v>24</v>
      </c>
      <c r="D70" s="12">
        <v>9153</v>
      </c>
      <c r="E70" s="149">
        <f t="shared" si="16"/>
        <v>798586</v>
      </c>
      <c r="F70" s="149"/>
      <c r="G70" s="149"/>
      <c r="H70" s="149">
        <v>100000</v>
      </c>
      <c r="I70" s="149">
        <f>500000+28808</f>
        <v>528808</v>
      </c>
      <c r="J70" s="157">
        <f>162000+7778</f>
        <v>169778</v>
      </c>
      <c r="K70" s="214">
        <f t="shared" si="17"/>
        <v>798586</v>
      </c>
      <c r="L70" s="22"/>
      <c r="M70" s="22"/>
      <c r="N70" s="22"/>
      <c r="O70" s="484"/>
      <c r="P70" s="132" t="s">
        <v>280</v>
      </c>
      <c r="R70" s="230">
        <f t="shared" si="2"/>
        <v>798586</v>
      </c>
      <c r="S70" s="230">
        <f t="shared" si="3"/>
        <v>0</v>
      </c>
    </row>
    <row r="71" spans="1:19" ht="21" customHeight="1">
      <c r="A71" s="133" t="s">
        <v>103</v>
      </c>
      <c r="B71" s="27" t="s">
        <v>207</v>
      </c>
      <c r="C71" s="145" t="s">
        <v>208</v>
      </c>
      <c r="D71" s="12">
        <v>9201</v>
      </c>
      <c r="E71" s="149">
        <f t="shared" si="16"/>
        <v>500000</v>
      </c>
      <c r="F71" s="149"/>
      <c r="G71" s="149"/>
      <c r="H71" s="149"/>
      <c r="I71" s="149">
        <v>393700</v>
      </c>
      <c r="J71" s="157">
        <v>106300</v>
      </c>
      <c r="K71" s="214">
        <f t="shared" si="17"/>
        <v>500000</v>
      </c>
      <c r="L71" s="22"/>
      <c r="M71" s="22"/>
      <c r="N71" s="22"/>
      <c r="O71" s="484"/>
      <c r="P71" s="132" t="s">
        <v>280</v>
      </c>
      <c r="Q71" s="11" t="e">
        <f>+K71+L71+N71+#REF!</f>
        <v>#REF!</v>
      </c>
      <c r="R71" s="230">
        <f t="shared" si="2"/>
        <v>500000</v>
      </c>
      <c r="S71" s="230">
        <f t="shared" si="3"/>
        <v>0</v>
      </c>
    </row>
    <row r="72" spans="1:19" ht="21" customHeight="1">
      <c r="A72" s="133" t="s">
        <v>103</v>
      </c>
      <c r="B72" s="27" t="s">
        <v>207</v>
      </c>
      <c r="C72" s="145" t="s">
        <v>792</v>
      </c>
      <c r="D72" s="12">
        <v>9231</v>
      </c>
      <c r="E72" s="149">
        <f t="shared" si="16"/>
        <v>762000</v>
      </c>
      <c r="F72" s="149"/>
      <c r="G72" s="149"/>
      <c r="H72" s="149">
        <v>400000</v>
      </c>
      <c r="I72" s="149">
        <v>200000</v>
      </c>
      <c r="J72" s="157">
        <v>162000</v>
      </c>
      <c r="K72" s="214">
        <f t="shared" si="17"/>
        <v>762000</v>
      </c>
      <c r="L72" s="22"/>
      <c r="M72" s="22"/>
      <c r="N72" s="22"/>
      <c r="O72" s="484"/>
      <c r="P72" s="132" t="s">
        <v>280</v>
      </c>
      <c r="Q72" s="11" t="e">
        <f>+K72+L72+N72+#REF!</f>
        <v>#REF!</v>
      </c>
      <c r="R72" s="230">
        <f t="shared" si="2"/>
        <v>762000</v>
      </c>
      <c r="S72" s="230">
        <f t="shared" si="3"/>
        <v>0</v>
      </c>
    </row>
    <row r="73" spans="1:19" ht="21" customHeight="1">
      <c r="A73" s="133" t="s">
        <v>166</v>
      </c>
      <c r="B73" s="27" t="s">
        <v>207</v>
      </c>
      <c r="C73" s="145" t="s">
        <v>793</v>
      </c>
      <c r="D73" s="12">
        <v>9232</v>
      </c>
      <c r="E73" s="149">
        <f t="shared" si="16"/>
        <v>762000</v>
      </c>
      <c r="F73" s="149"/>
      <c r="G73" s="149"/>
      <c r="H73" s="149">
        <v>400000</v>
      </c>
      <c r="I73" s="149">
        <v>200000</v>
      </c>
      <c r="J73" s="157">
        <v>162000</v>
      </c>
      <c r="K73" s="214">
        <f t="shared" si="17"/>
        <v>762000</v>
      </c>
      <c r="L73" s="22"/>
      <c r="M73" s="22"/>
      <c r="N73" s="22"/>
      <c r="O73" s="484"/>
      <c r="P73" s="132" t="s">
        <v>280</v>
      </c>
      <c r="Q73" s="11" t="e">
        <f>+K73+L73+N73+#REF!</f>
        <v>#REF!</v>
      </c>
      <c r="R73" s="230">
        <f t="shared" si="2"/>
        <v>762000</v>
      </c>
      <c r="S73" s="230">
        <f t="shared" si="3"/>
        <v>0</v>
      </c>
    </row>
    <row r="74" spans="1:19" ht="21" customHeight="1">
      <c r="A74" s="133" t="s">
        <v>103</v>
      </c>
      <c r="B74" s="1292" t="s">
        <v>207</v>
      </c>
      <c r="C74" s="145" t="s">
        <v>828</v>
      </c>
      <c r="D74" s="12">
        <v>9261</v>
      </c>
      <c r="E74" s="149">
        <f t="shared" si="16"/>
        <v>800000</v>
      </c>
      <c r="F74" s="149"/>
      <c r="G74" s="149"/>
      <c r="H74" s="149"/>
      <c r="I74" s="149">
        <v>629921</v>
      </c>
      <c r="J74" s="157">
        <v>170079</v>
      </c>
      <c r="K74" s="214">
        <f t="shared" si="17"/>
        <v>800000</v>
      </c>
      <c r="L74" s="22"/>
      <c r="M74" s="22"/>
      <c r="N74" s="22"/>
      <c r="O74" s="484"/>
      <c r="P74" s="132" t="s">
        <v>280</v>
      </c>
      <c r="Q74" s="11" t="e">
        <f>+K74+L74+N74+#REF!</f>
        <v>#REF!</v>
      </c>
      <c r="R74" s="230">
        <f t="shared" si="2"/>
        <v>800000</v>
      </c>
      <c r="S74" s="230">
        <f t="shared" si="3"/>
        <v>0</v>
      </c>
    </row>
    <row r="75" spans="1:19" ht="21" customHeight="1">
      <c r="A75" s="133" t="s">
        <v>166</v>
      </c>
      <c r="B75" s="1293"/>
      <c r="C75" s="145" t="s">
        <v>829</v>
      </c>
      <c r="D75" s="12">
        <v>9262</v>
      </c>
      <c r="E75" s="149">
        <f t="shared" si="16"/>
        <v>400000</v>
      </c>
      <c r="F75" s="149"/>
      <c r="G75" s="149"/>
      <c r="H75" s="149"/>
      <c r="I75" s="149">
        <v>314960</v>
      </c>
      <c r="J75" s="157">
        <v>85040</v>
      </c>
      <c r="K75" s="214">
        <f t="shared" si="17"/>
        <v>400000</v>
      </c>
      <c r="L75" s="22"/>
      <c r="M75" s="22"/>
      <c r="N75" s="22"/>
      <c r="O75" s="484"/>
      <c r="P75" s="132" t="s">
        <v>280</v>
      </c>
      <c r="Q75" s="11" t="e">
        <f>+K75+L75+N75+#REF!</f>
        <v>#REF!</v>
      </c>
      <c r="R75" s="230">
        <f t="shared" si="2"/>
        <v>400000</v>
      </c>
      <c r="S75" s="230">
        <f t="shared" si="3"/>
        <v>0</v>
      </c>
    </row>
    <row r="76" spans="1:19" ht="28.5" customHeight="1">
      <c r="A76" s="133" t="s">
        <v>103</v>
      </c>
      <c r="B76" s="26" t="s">
        <v>744</v>
      </c>
      <c r="C76" s="156" t="s">
        <v>486</v>
      </c>
      <c r="D76" s="12">
        <v>9301</v>
      </c>
      <c r="E76" s="149">
        <f t="shared" si="16"/>
        <v>3754000</v>
      </c>
      <c r="F76" s="149"/>
      <c r="G76" s="149"/>
      <c r="H76" s="149"/>
      <c r="I76" s="149">
        <v>2955905</v>
      </c>
      <c r="J76" s="157">
        <v>798095</v>
      </c>
      <c r="K76" s="214">
        <f t="shared" si="17"/>
        <v>3754000</v>
      </c>
      <c r="L76" s="22"/>
      <c r="M76" s="22"/>
      <c r="N76" s="22"/>
      <c r="O76" s="484"/>
      <c r="P76" s="132" t="s">
        <v>280</v>
      </c>
      <c r="Q76" s="11" t="e">
        <f>+K76+L76+N76+#REF!</f>
        <v>#REF!</v>
      </c>
      <c r="R76" s="230">
        <f t="shared" si="2"/>
        <v>3754000</v>
      </c>
      <c r="S76" s="230">
        <f t="shared" si="3"/>
        <v>0</v>
      </c>
    </row>
    <row r="77" spans="1:19" ht="24.75" customHeight="1">
      <c r="A77" s="133" t="s">
        <v>166</v>
      </c>
      <c r="B77" s="26" t="s">
        <v>628</v>
      </c>
      <c r="C77" s="156" t="s">
        <v>629</v>
      </c>
      <c r="D77" s="12">
        <v>9302</v>
      </c>
      <c r="E77" s="149">
        <f t="shared" si="16"/>
        <v>3000000</v>
      </c>
      <c r="F77" s="149"/>
      <c r="G77" s="149"/>
      <c r="H77" s="149"/>
      <c r="I77" s="149">
        <v>2362205</v>
      </c>
      <c r="J77" s="157">
        <v>637795</v>
      </c>
      <c r="K77" s="214">
        <f t="shared" si="17"/>
        <v>3000000</v>
      </c>
      <c r="L77" s="22"/>
      <c r="M77" s="22"/>
      <c r="N77" s="22"/>
      <c r="O77" s="484"/>
      <c r="P77" s="132" t="s">
        <v>280</v>
      </c>
      <c r="R77" s="230">
        <f t="shared" si="2"/>
        <v>3000000</v>
      </c>
      <c r="S77" s="230">
        <f t="shared" si="3"/>
        <v>0</v>
      </c>
    </row>
    <row r="78" spans="1:19" ht="21.75" customHeight="1">
      <c r="A78" s="133" t="s">
        <v>190</v>
      </c>
      <c r="B78" s="26" t="s">
        <v>485</v>
      </c>
      <c r="C78" s="156" t="s">
        <v>487</v>
      </c>
      <c r="D78" s="12">
        <v>9303</v>
      </c>
      <c r="E78" s="149">
        <f t="shared" si="16"/>
        <v>3063500</v>
      </c>
      <c r="F78" s="149"/>
      <c r="G78" s="149"/>
      <c r="H78" s="149"/>
      <c r="I78" s="149">
        <v>2412205</v>
      </c>
      <c r="J78" s="157">
        <v>651295</v>
      </c>
      <c r="K78" s="214">
        <f t="shared" si="17"/>
        <v>3063500</v>
      </c>
      <c r="L78" s="22"/>
      <c r="M78" s="22"/>
      <c r="N78" s="22"/>
      <c r="O78" s="484"/>
      <c r="P78" s="132" t="s">
        <v>281</v>
      </c>
      <c r="R78" s="230">
        <f t="shared" si="2"/>
        <v>3063500</v>
      </c>
      <c r="S78" s="230">
        <f t="shared" si="3"/>
        <v>0</v>
      </c>
    </row>
    <row r="79" spans="1:19" ht="24" customHeight="1">
      <c r="A79" s="133" t="s">
        <v>191</v>
      </c>
      <c r="B79" s="26" t="s">
        <v>211</v>
      </c>
      <c r="C79" s="156" t="s">
        <v>217</v>
      </c>
      <c r="D79" s="12">
        <v>9304</v>
      </c>
      <c r="E79" s="149">
        <f t="shared" si="16"/>
        <v>3063500</v>
      </c>
      <c r="F79" s="149"/>
      <c r="G79" s="149"/>
      <c r="H79" s="149"/>
      <c r="I79" s="149">
        <v>2412205</v>
      </c>
      <c r="J79" s="157">
        <v>651295</v>
      </c>
      <c r="K79" s="214">
        <f t="shared" si="17"/>
        <v>3063500</v>
      </c>
      <c r="L79" s="22"/>
      <c r="M79" s="22"/>
      <c r="N79" s="22"/>
      <c r="O79" s="484"/>
      <c r="P79" s="132" t="s">
        <v>281</v>
      </c>
      <c r="Q79" s="11" t="e">
        <f>+K79+L79+N79+#REF!</f>
        <v>#REF!</v>
      </c>
      <c r="R79" s="230">
        <f t="shared" si="2"/>
        <v>3063500</v>
      </c>
      <c r="S79" s="230">
        <f t="shared" si="3"/>
        <v>0</v>
      </c>
    </row>
    <row r="80" spans="1:19" ht="24" customHeight="1">
      <c r="A80" s="133" t="s">
        <v>167</v>
      </c>
      <c r="B80" s="26" t="s">
        <v>212</v>
      </c>
      <c r="C80" s="156" t="s">
        <v>630</v>
      </c>
      <c r="D80" s="12">
        <v>9305</v>
      </c>
      <c r="E80" s="149">
        <f t="shared" si="16"/>
        <v>15500000</v>
      </c>
      <c r="F80" s="149"/>
      <c r="G80" s="149"/>
      <c r="H80" s="149"/>
      <c r="I80" s="149">
        <v>12204725</v>
      </c>
      <c r="J80" s="157">
        <v>3295275</v>
      </c>
      <c r="K80" s="214">
        <f t="shared" si="17"/>
        <v>15500000</v>
      </c>
      <c r="L80" s="22"/>
      <c r="M80" s="22"/>
      <c r="N80" s="22"/>
      <c r="O80" s="484"/>
      <c r="P80" s="132" t="s">
        <v>280</v>
      </c>
      <c r="R80" s="230">
        <f t="shared" si="2"/>
        <v>15500000</v>
      </c>
      <c r="S80" s="230">
        <f t="shared" si="3"/>
        <v>0</v>
      </c>
    </row>
    <row r="81" spans="1:19" ht="32.25" customHeight="1">
      <c r="A81" s="133" t="s">
        <v>168</v>
      </c>
      <c r="B81" s="26" t="s">
        <v>212</v>
      </c>
      <c r="C81" s="156" t="s">
        <v>631</v>
      </c>
      <c r="D81" s="12">
        <v>9306</v>
      </c>
      <c r="E81" s="149">
        <f t="shared" si="16"/>
        <v>127000</v>
      </c>
      <c r="F81" s="149"/>
      <c r="G81" s="149"/>
      <c r="H81" s="149"/>
      <c r="I81" s="149">
        <v>100000</v>
      </c>
      <c r="J81" s="157">
        <v>27000</v>
      </c>
      <c r="K81" s="214">
        <f t="shared" si="17"/>
        <v>127000</v>
      </c>
      <c r="L81" s="22"/>
      <c r="M81" s="22"/>
      <c r="N81" s="22"/>
      <c r="O81" s="484"/>
      <c r="P81" s="132" t="s">
        <v>280</v>
      </c>
      <c r="Q81" s="11" t="e">
        <f>+K81+L81+N81+#REF!</f>
        <v>#REF!</v>
      </c>
      <c r="R81" s="230">
        <f t="shared" si="2"/>
        <v>127000</v>
      </c>
      <c r="S81" s="230">
        <f t="shared" si="3"/>
        <v>0</v>
      </c>
    </row>
    <row r="82" spans="1:19" ht="24" customHeight="1">
      <c r="A82" s="133" t="s">
        <v>580</v>
      </c>
      <c r="B82" s="26" t="s">
        <v>632</v>
      </c>
      <c r="C82" s="156" t="s">
        <v>633</v>
      </c>
      <c r="D82" s="12">
        <v>9307</v>
      </c>
      <c r="E82" s="149">
        <f t="shared" si="16"/>
        <v>250000</v>
      </c>
      <c r="F82" s="149"/>
      <c r="G82" s="149"/>
      <c r="H82" s="149">
        <v>182860</v>
      </c>
      <c r="I82" s="149">
        <v>13990</v>
      </c>
      <c r="J82" s="157">
        <v>53150</v>
      </c>
      <c r="K82" s="214">
        <f t="shared" si="17"/>
        <v>250000</v>
      </c>
      <c r="L82" s="22"/>
      <c r="M82" s="22"/>
      <c r="N82" s="22"/>
      <c r="O82" s="484"/>
      <c r="P82" s="132" t="s">
        <v>280</v>
      </c>
      <c r="R82" s="230">
        <f aca="true" t="shared" si="18" ref="R82:R97">SUM(K82:O82)</f>
        <v>250000</v>
      </c>
      <c r="S82" s="230">
        <f aca="true" t="shared" si="19" ref="S82:S97">+R82-E82</f>
        <v>0</v>
      </c>
    </row>
    <row r="83" spans="1:19" ht="24" customHeight="1">
      <c r="A83" s="133" t="s">
        <v>582</v>
      </c>
      <c r="B83" s="26" t="s">
        <v>634</v>
      </c>
      <c r="C83" s="156" t="s">
        <v>635</v>
      </c>
      <c r="D83" s="12">
        <v>9308</v>
      </c>
      <c r="E83" s="149">
        <f t="shared" si="16"/>
        <v>750000</v>
      </c>
      <c r="F83" s="149"/>
      <c r="G83" s="149"/>
      <c r="H83" s="149">
        <v>196850</v>
      </c>
      <c r="I83" s="149">
        <v>393701</v>
      </c>
      <c r="J83" s="157">
        <f>53150+106299</f>
        <v>159449</v>
      </c>
      <c r="K83" s="214">
        <f t="shared" si="17"/>
        <v>750000</v>
      </c>
      <c r="L83" s="22"/>
      <c r="M83" s="22"/>
      <c r="N83" s="22"/>
      <c r="O83" s="484"/>
      <c r="P83" s="132" t="s">
        <v>280</v>
      </c>
      <c r="R83" s="230">
        <f t="shared" si="18"/>
        <v>750000</v>
      </c>
      <c r="S83" s="230">
        <f t="shared" si="19"/>
        <v>0</v>
      </c>
    </row>
    <row r="84" spans="1:19" ht="24.75" customHeight="1">
      <c r="A84" s="133" t="s">
        <v>192</v>
      </c>
      <c r="B84" s="26" t="s">
        <v>213</v>
      </c>
      <c r="C84" s="156" t="s">
        <v>215</v>
      </c>
      <c r="D84" s="12">
        <v>9309</v>
      </c>
      <c r="E84" s="149">
        <f t="shared" si="16"/>
        <v>15708000</v>
      </c>
      <c r="F84" s="149"/>
      <c r="G84" s="149"/>
      <c r="H84" s="149">
        <v>200000</v>
      </c>
      <c r="I84" s="149">
        <v>12211024</v>
      </c>
      <c r="J84" s="157">
        <v>3296976</v>
      </c>
      <c r="K84" s="214">
        <f t="shared" si="17"/>
        <v>15708000</v>
      </c>
      <c r="L84" s="22"/>
      <c r="M84" s="22"/>
      <c r="N84" s="22"/>
      <c r="O84" s="484"/>
      <c r="P84" s="132" t="s">
        <v>280</v>
      </c>
      <c r="Q84" s="11" t="e">
        <f>+K84+L84+N84+#REF!</f>
        <v>#REF!</v>
      </c>
      <c r="R84" s="230">
        <f t="shared" si="18"/>
        <v>15708000</v>
      </c>
      <c r="S84" s="230">
        <f t="shared" si="19"/>
        <v>0</v>
      </c>
    </row>
    <row r="85" spans="1:19" ht="24.75" customHeight="1">
      <c r="A85" s="133" t="s">
        <v>71</v>
      </c>
      <c r="B85" s="26" t="s">
        <v>214</v>
      </c>
      <c r="C85" s="156" t="s">
        <v>216</v>
      </c>
      <c r="D85" s="12">
        <v>9310</v>
      </c>
      <c r="E85" s="149">
        <f t="shared" si="16"/>
        <v>254000</v>
      </c>
      <c r="F85" s="149"/>
      <c r="G85" s="149"/>
      <c r="H85" s="149"/>
      <c r="I85" s="149">
        <v>200000</v>
      </c>
      <c r="J85" s="157">
        <v>54000</v>
      </c>
      <c r="K85" s="214">
        <f t="shared" si="17"/>
        <v>254000</v>
      </c>
      <c r="L85" s="22"/>
      <c r="M85" s="22"/>
      <c r="N85" s="22"/>
      <c r="O85" s="484"/>
      <c r="P85" s="132" t="s">
        <v>280</v>
      </c>
      <c r="Q85" s="11" t="e">
        <f>+K85+L85+N85+#REF!</f>
        <v>#REF!</v>
      </c>
      <c r="R85" s="230">
        <f t="shared" si="18"/>
        <v>254000</v>
      </c>
      <c r="S85" s="230">
        <f t="shared" si="19"/>
        <v>0</v>
      </c>
    </row>
    <row r="86" spans="1:19" ht="29.25" customHeight="1">
      <c r="A86" s="133" t="s">
        <v>72</v>
      </c>
      <c r="B86" s="26" t="s">
        <v>745</v>
      </c>
      <c r="C86" s="156" t="s">
        <v>218</v>
      </c>
      <c r="D86" s="12">
        <v>9311</v>
      </c>
      <c r="E86" s="149">
        <f t="shared" si="16"/>
        <v>0</v>
      </c>
      <c r="F86" s="149"/>
      <c r="G86" s="149"/>
      <c r="H86" s="149"/>
      <c r="I86" s="149"/>
      <c r="J86" s="157"/>
      <c r="K86" s="214">
        <f t="shared" si="17"/>
        <v>0</v>
      </c>
      <c r="L86" s="22"/>
      <c r="M86" s="22"/>
      <c r="N86" s="22"/>
      <c r="O86" s="484"/>
      <c r="P86" s="132" t="s">
        <v>280</v>
      </c>
      <c r="Q86" s="11" t="e">
        <f>+K86+L86+N86+#REF!</f>
        <v>#REF!</v>
      </c>
      <c r="R86" s="230">
        <f t="shared" si="18"/>
        <v>0</v>
      </c>
      <c r="S86" s="230">
        <f t="shared" si="19"/>
        <v>0</v>
      </c>
    </row>
    <row r="87" spans="1:19" ht="29.25" customHeight="1">
      <c r="A87" s="133" t="s">
        <v>193</v>
      </c>
      <c r="B87" s="26" t="s">
        <v>745</v>
      </c>
      <c r="C87" s="156" t="s">
        <v>221</v>
      </c>
      <c r="D87" s="12">
        <v>9312</v>
      </c>
      <c r="E87" s="149">
        <f t="shared" si="16"/>
        <v>25400</v>
      </c>
      <c r="F87" s="149"/>
      <c r="G87" s="149"/>
      <c r="H87" s="149">
        <v>10000</v>
      </c>
      <c r="I87" s="149">
        <v>10000</v>
      </c>
      <c r="J87" s="157">
        <v>5400</v>
      </c>
      <c r="K87" s="214">
        <f t="shared" si="17"/>
        <v>25400</v>
      </c>
      <c r="L87" s="22"/>
      <c r="M87" s="22"/>
      <c r="N87" s="22"/>
      <c r="O87" s="484"/>
      <c r="P87" s="132" t="s">
        <v>280</v>
      </c>
      <c r="Q87" s="11" t="e">
        <f>+K87+L87+N87+#REF!</f>
        <v>#REF!</v>
      </c>
      <c r="R87" s="230">
        <f t="shared" si="18"/>
        <v>25400</v>
      </c>
      <c r="S87" s="230">
        <f t="shared" si="19"/>
        <v>0</v>
      </c>
    </row>
    <row r="88" spans="1:19" ht="29.25" customHeight="1">
      <c r="A88" s="133" t="s">
        <v>194</v>
      </c>
      <c r="B88" s="26" t="s">
        <v>745</v>
      </c>
      <c r="C88" s="156" t="s">
        <v>219</v>
      </c>
      <c r="D88" s="12">
        <v>9313</v>
      </c>
      <c r="E88" s="149">
        <f t="shared" si="16"/>
        <v>0</v>
      </c>
      <c r="F88" s="149"/>
      <c r="G88" s="149"/>
      <c r="H88" s="149"/>
      <c r="I88" s="149"/>
      <c r="J88" s="157"/>
      <c r="K88" s="214">
        <f t="shared" si="17"/>
        <v>0</v>
      </c>
      <c r="L88" s="22"/>
      <c r="M88" s="22"/>
      <c r="N88" s="22"/>
      <c r="O88" s="484"/>
      <c r="P88" s="132" t="s">
        <v>280</v>
      </c>
      <c r="Q88" s="11" t="e">
        <f>+K88+L88+N88+#REF!</f>
        <v>#REF!</v>
      </c>
      <c r="R88" s="230">
        <f t="shared" si="18"/>
        <v>0</v>
      </c>
      <c r="S88" s="230">
        <f t="shared" si="19"/>
        <v>0</v>
      </c>
    </row>
    <row r="89" spans="1:19" ht="22.5" customHeight="1">
      <c r="A89" s="133" t="s">
        <v>210</v>
      </c>
      <c r="B89" s="375" t="s">
        <v>746</v>
      </c>
      <c r="C89" s="156" t="s">
        <v>220</v>
      </c>
      <c r="D89" s="12">
        <v>9314</v>
      </c>
      <c r="E89" s="149">
        <f t="shared" si="16"/>
        <v>0</v>
      </c>
      <c r="F89" s="149"/>
      <c r="G89" s="149"/>
      <c r="H89" s="149"/>
      <c r="I89" s="149"/>
      <c r="J89" s="157"/>
      <c r="K89" s="214">
        <f t="shared" si="17"/>
        <v>0</v>
      </c>
      <c r="L89" s="22"/>
      <c r="M89" s="22"/>
      <c r="N89" s="22"/>
      <c r="O89" s="484"/>
      <c r="P89" s="132" t="s">
        <v>280</v>
      </c>
      <c r="Q89" s="11" t="e">
        <f>+K89+L89+N89+#REF!</f>
        <v>#REF!</v>
      </c>
      <c r="R89" s="230">
        <f t="shared" si="18"/>
        <v>0</v>
      </c>
      <c r="S89" s="230">
        <f t="shared" si="19"/>
        <v>0</v>
      </c>
    </row>
    <row r="90" spans="1:19" ht="24.75" customHeight="1">
      <c r="A90" s="133" t="s">
        <v>190</v>
      </c>
      <c r="B90" s="26" t="s">
        <v>222</v>
      </c>
      <c r="C90" s="156" t="s">
        <v>795</v>
      </c>
      <c r="D90" s="12">
        <v>9401</v>
      </c>
      <c r="E90" s="149">
        <f t="shared" si="16"/>
        <v>717500</v>
      </c>
      <c r="F90" s="149">
        <v>100000</v>
      </c>
      <c r="G90" s="149"/>
      <c r="H90" s="149">
        <v>100000</v>
      </c>
      <c r="I90" s="149">
        <v>250000</v>
      </c>
      <c r="J90" s="157">
        <v>267500</v>
      </c>
      <c r="K90" s="214">
        <f t="shared" si="17"/>
        <v>717500</v>
      </c>
      <c r="L90" s="22"/>
      <c r="M90" s="22"/>
      <c r="N90" s="22"/>
      <c r="O90" s="484"/>
      <c r="P90" s="132" t="s">
        <v>280</v>
      </c>
      <c r="Q90" s="11" t="e">
        <f>+K90+L90+N90+#REF!</f>
        <v>#REF!</v>
      </c>
      <c r="R90" s="230">
        <f t="shared" si="18"/>
        <v>717500</v>
      </c>
      <c r="S90" s="230">
        <f t="shared" si="19"/>
        <v>0</v>
      </c>
    </row>
    <row r="91" spans="1:19" ht="24.75" customHeight="1">
      <c r="A91" s="133" t="s">
        <v>103</v>
      </c>
      <c r="B91" s="26" t="s">
        <v>798</v>
      </c>
      <c r="C91" s="156" t="s">
        <v>796</v>
      </c>
      <c r="D91" s="12">
        <v>9451</v>
      </c>
      <c r="E91" s="149">
        <f t="shared" si="16"/>
        <v>500000</v>
      </c>
      <c r="F91" s="149"/>
      <c r="G91" s="149"/>
      <c r="H91" s="149"/>
      <c r="I91" s="149">
        <v>393700</v>
      </c>
      <c r="J91" s="157">
        <v>106300</v>
      </c>
      <c r="K91" s="214">
        <f t="shared" si="17"/>
        <v>500000</v>
      </c>
      <c r="L91" s="22"/>
      <c r="M91" s="22"/>
      <c r="N91" s="22"/>
      <c r="O91" s="484"/>
      <c r="P91" s="132" t="s">
        <v>280</v>
      </c>
      <c r="Q91" s="11" t="e">
        <f>+K91+L91+N91+#REF!</f>
        <v>#REF!</v>
      </c>
      <c r="R91" s="230">
        <f t="shared" si="18"/>
        <v>500000</v>
      </c>
      <c r="S91" s="230">
        <f t="shared" si="19"/>
        <v>0</v>
      </c>
    </row>
    <row r="92" spans="1:19" ht="31.5" customHeight="1">
      <c r="A92" s="133" t="s">
        <v>166</v>
      </c>
      <c r="B92" s="26" t="s">
        <v>747</v>
      </c>
      <c r="C92" s="125" t="s">
        <v>797</v>
      </c>
      <c r="D92" s="211">
        <v>9452</v>
      </c>
      <c r="E92" s="239">
        <f t="shared" si="16"/>
        <v>500000</v>
      </c>
      <c r="F92" s="239"/>
      <c r="G92" s="239"/>
      <c r="H92" s="239"/>
      <c r="I92" s="239">
        <v>393700</v>
      </c>
      <c r="J92" s="260">
        <v>106300</v>
      </c>
      <c r="K92" s="214">
        <f t="shared" si="17"/>
        <v>500000</v>
      </c>
      <c r="L92" s="22"/>
      <c r="M92" s="22"/>
      <c r="N92" s="22"/>
      <c r="O92" s="484"/>
      <c r="P92" s="132" t="s">
        <v>280</v>
      </c>
      <c r="R92" s="230">
        <f t="shared" si="18"/>
        <v>500000</v>
      </c>
      <c r="S92" s="230">
        <f t="shared" si="19"/>
        <v>0</v>
      </c>
    </row>
    <row r="93" spans="1:19" ht="25.5" customHeight="1">
      <c r="A93" s="431" t="s">
        <v>190</v>
      </c>
      <c r="B93" s="375" t="s">
        <v>888</v>
      </c>
      <c r="C93" s="125" t="s">
        <v>889</v>
      </c>
      <c r="D93" s="211">
        <v>9453</v>
      </c>
      <c r="E93" s="239">
        <f t="shared" si="16"/>
        <v>127000</v>
      </c>
      <c r="F93" s="239"/>
      <c r="G93" s="239"/>
      <c r="H93" s="239"/>
      <c r="I93" s="239">
        <v>100000</v>
      </c>
      <c r="J93" s="260">
        <v>27000</v>
      </c>
      <c r="K93" s="214">
        <v>127000</v>
      </c>
      <c r="L93" s="22"/>
      <c r="M93" s="22"/>
      <c r="N93" s="22"/>
      <c r="O93" s="484"/>
      <c r="P93" s="132" t="s">
        <v>281</v>
      </c>
      <c r="R93" s="230">
        <f t="shared" si="18"/>
        <v>127000</v>
      </c>
      <c r="S93" s="230">
        <f t="shared" si="19"/>
        <v>0</v>
      </c>
    </row>
    <row r="94" spans="1:19" ht="24.75" customHeight="1">
      <c r="A94" s="133" t="s">
        <v>103</v>
      </c>
      <c r="B94" s="26" t="s">
        <v>209</v>
      </c>
      <c r="C94" s="156" t="s">
        <v>748</v>
      </c>
      <c r="D94" s="12">
        <v>9501</v>
      </c>
      <c r="E94" s="149">
        <f t="shared" si="16"/>
        <v>800000</v>
      </c>
      <c r="F94" s="149"/>
      <c r="G94" s="149"/>
      <c r="H94" s="149">
        <v>629921</v>
      </c>
      <c r="I94" s="149"/>
      <c r="J94" s="157">
        <v>170079</v>
      </c>
      <c r="K94" s="214">
        <f t="shared" si="17"/>
        <v>800000</v>
      </c>
      <c r="L94" s="22"/>
      <c r="M94" s="22"/>
      <c r="N94" s="22"/>
      <c r="O94" s="484"/>
      <c r="P94" s="132" t="s">
        <v>280</v>
      </c>
      <c r="Q94" s="11" t="e">
        <f>+K94+L94+N94+#REF!</f>
        <v>#REF!</v>
      </c>
      <c r="R94" s="230">
        <f t="shared" si="18"/>
        <v>800000</v>
      </c>
      <c r="S94" s="230">
        <f t="shared" si="19"/>
        <v>0</v>
      </c>
    </row>
    <row r="95" spans="1:19" ht="24.75" customHeight="1">
      <c r="A95" s="133" t="s">
        <v>191</v>
      </c>
      <c r="B95" s="12">
        <v>104042</v>
      </c>
      <c r="C95" s="156" t="s">
        <v>749</v>
      </c>
      <c r="D95" s="12">
        <v>9502</v>
      </c>
      <c r="E95" s="149">
        <f t="shared" si="16"/>
        <v>127000</v>
      </c>
      <c r="F95" s="149"/>
      <c r="G95" s="149"/>
      <c r="H95" s="149"/>
      <c r="I95" s="149">
        <v>100000</v>
      </c>
      <c r="J95" s="157">
        <v>27000</v>
      </c>
      <c r="K95" s="214">
        <f t="shared" si="17"/>
        <v>127000</v>
      </c>
      <c r="L95" s="22"/>
      <c r="M95" s="22"/>
      <c r="N95" s="22"/>
      <c r="O95" s="484"/>
      <c r="P95" s="132" t="s">
        <v>280</v>
      </c>
      <c r="Q95" s="11" t="e">
        <f>+K95+L95+N95+#REF!</f>
        <v>#REF!</v>
      </c>
      <c r="R95" s="230">
        <f t="shared" si="18"/>
        <v>127000</v>
      </c>
      <c r="S95" s="230">
        <f t="shared" si="19"/>
        <v>0</v>
      </c>
    </row>
    <row r="96" spans="1:20" ht="19.5" customHeight="1">
      <c r="A96" s="18" t="s">
        <v>27</v>
      </c>
      <c r="B96" s="19"/>
      <c r="C96" s="19"/>
      <c r="D96" s="19"/>
      <c r="E96" s="158">
        <f aca="true" t="shared" si="20" ref="E96:J96">+E63</f>
        <v>62909679</v>
      </c>
      <c r="F96" s="158">
        <f t="shared" si="20"/>
        <v>1450000</v>
      </c>
      <c r="G96" s="158">
        <f t="shared" si="20"/>
        <v>0</v>
      </c>
      <c r="H96" s="158">
        <f t="shared" si="20"/>
        <v>5269631</v>
      </c>
      <c r="I96" s="158">
        <f t="shared" si="20"/>
        <v>42743106</v>
      </c>
      <c r="J96" s="159">
        <f t="shared" si="20"/>
        <v>13446942</v>
      </c>
      <c r="K96" s="245">
        <f>E96</f>
        <v>62909679</v>
      </c>
      <c r="L96" s="23">
        <f>+L63</f>
        <v>0</v>
      </c>
      <c r="M96" s="23">
        <f>+M63</f>
        <v>0</v>
      </c>
      <c r="N96" s="23">
        <f>+N63</f>
        <v>0</v>
      </c>
      <c r="O96" s="485"/>
      <c r="P96" s="132"/>
      <c r="Q96" s="11" t="e">
        <f>+K96+L96+N96+#REF!</f>
        <v>#REF!</v>
      </c>
      <c r="R96" s="230">
        <f t="shared" si="18"/>
        <v>62909679</v>
      </c>
      <c r="S96" s="230">
        <f t="shared" si="19"/>
        <v>0</v>
      </c>
      <c r="T96" s="13"/>
    </row>
    <row r="97" spans="1:20" ht="30.75" customHeight="1">
      <c r="A97" s="481" t="s">
        <v>30</v>
      </c>
      <c r="B97" s="16"/>
      <c r="C97" s="480"/>
      <c r="D97" s="16"/>
      <c r="E97" s="160">
        <f>+E96+E62</f>
        <v>1536581532.8976378</v>
      </c>
      <c r="F97" s="160">
        <f aca="true" t="shared" si="21" ref="F97:O97">+F96+F62</f>
        <v>4066343</v>
      </c>
      <c r="G97" s="160">
        <f t="shared" si="21"/>
        <v>1276418270.8976378</v>
      </c>
      <c r="H97" s="160">
        <f t="shared" si="21"/>
        <v>11459159</v>
      </c>
      <c r="I97" s="160">
        <f t="shared" si="21"/>
        <v>76711235</v>
      </c>
      <c r="J97" s="161">
        <f t="shared" si="21"/>
        <v>167926525</v>
      </c>
      <c r="K97" s="237">
        <f t="shared" si="21"/>
        <v>1311428883.8976378</v>
      </c>
      <c r="L97" s="160">
        <f t="shared" si="21"/>
        <v>6840000</v>
      </c>
      <c r="M97" s="160">
        <f t="shared" si="21"/>
        <v>153593700</v>
      </c>
      <c r="N97" s="160">
        <f t="shared" si="21"/>
        <v>0</v>
      </c>
      <c r="O97" s="160">
        <f t="shared" si="21"/>
        <v>10000000</v>
      </c>
      <c r="P97" s="114"/>
      <c r="Q97" s="11" t="e">
        <f>+K97+L97+N97+#REF!</f>
        <v>#REF!</v>
      </c>
      <c r="R97" s="230">
        <f t="shared" si="18"/>
        <v>1481862583.8976378</v>
      </c>
      <c r="S97" s="230">
        <f t="shared" si="19"/>
        <v>-54718949</v>
      </c>
      <c r="T97" s="17"/>
    </row>
    <row r="98" ht="12.75">
      <c r="P98" s="115"/>
    </row>
    <row r="99" ht="12.75">
      <c r="P99" s="115"/>
    </row>
    <row r="100" spans="5:16" ht="12.75">
      <c r="E100" s="29">
        <f>+G97+I97+J97</f>
        <v>1521056030.8976378</v>
      </c>
      <c r="P100" s="115"/>
    </row>
    <row r="101" spans="13:16" ht="12.75">
      <c r="M101" s="29">
        <f>SUM(K97:N97)</f>
        <v>1471862583.8976378</v>
      </c>
      <c r="P101" s="115"/>
    </row>
    <row r="102" spans="5:16" ht="12.75">
      <c r="E102" s="11">
        <f>+'3. sz.Városi szintű összesen'!G16</f>
        <v>1536581532.8976378</v>
      </c>
      <c r="P102" s="115"/>
    </row>
    <row r="103" ht="12.75">
      <c r="E103" s="29">
        <f>+E97-E102</f>
        <v>0</v>
      </c>
    </row>
  </sheetData>
  <sheetProtection/>
  <mergeCells count="24">
    <mergeCell ref="B74:B75"/>
    <mergeCell ref="A6:E6"/>
    <mergeCell ref="C4:C5"/>
    <mergeCell ref="D4:D5"/>
    <mergeCell ref="F4:F5"/>
    <mergeCell ref="M5:M6"/>
    <mergeCell ref="A4:A5"/>
    <mergeCell ref="G4:G5"/>
    <mergeCell ref="L5:L6"/>
    <mergeCell ref="B4:B5"/>
    <mergeCell ref="A1:P1"/>
    <mergeCell ref="A2:P2"/>
    <mergeCell ref="N5:N6"/>
    <mergeCell ref="P4:P6"/>
    <mergeCell ref="J4:J5"/>
    <mergeCell ref="O5:O6"/>
    <mergeCell ref="K4:O4"/>
    <mergeCell ref="H4:H5"/>
    <mergeCell ref="A28:A29"/>
    <mergeCell ref="C28:C29"/>
    <mergeCell ref="D28:D29"/>
    <mergeCell ref="I4:I5"/>
    <mergeCell ref="K5:K6"/>
    <mergeCell ref="E4:E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6" r:id="rId1"/>
  <headerFooter>
    <oddHeader>&amp;C2019. évi költségvetés&amp;R&amp;A</oddHeader>
    <oddFooter>&amp;C&amp;P/&amp;N</oddFooter>
  </headerFooter>
  <rowBreaks count="2" manualBreakCount="2">
    <brk id="29" max="15" man="1"/>
    <brk id="62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="80" zoomScaleSheetLayoutView="8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12" sqref="F12"/>
    </sheetView>
  </sheetViews>
  <sheetFormatPr defaultColWidth="9.00390625" defaultRowHeight="12.75"/>
  <cols>
    <col min="1" max="1" width="6.625" style="592" customWidth="1"/>
    <col min="2" max="2" width="12.00390625" style="592" customWidth="1"/>
    <col min="3" max="3" width="60.75390625" style="592" customWidth="1"/>
    <col min="4" max="4" width="7.125" style="592" customWidth="1"/>
    <col min="5" max="6" width="15.875" style="592" customWidth="1"/>
    <col min="7" max="7" width="14.875" style="592" customWidth="1"/>
    <col min="8" max="8" width="16.75390625" style="592" customWidth="1"/>
    <col min="9" max="9" width="16.25390625" style="592" customWidth="1"/>
    <col min="10" max="10" width="16.25390625" style="594" customWidth="1"/>
    <col min="11" max="11" width="12.625" style="592" bestFit="1" customWidth="1"/>
    <col min="12" max="12" width="11.25390625" style="592" bestFit="1" customWidth="1"/>
    <col min="13" max="13" width="12.125" style="592" bestFit="1" customWidth="1"/>
    <col min="14" max="14" width="16.125" style="592" customWidth="1"/>
    <col min="15" max="15" width="12.75390625" style="592" bestFit="1" customWidth="1"/>
    <col min="16" max="16" width="11.125" style="592" customWidth="1"/>
    <col min="17" max="18" width="9.125" style="592" customWidth="1"/>
    <col min="19" max="20" width="13.75390625" style="592" bestFit="1" customWidth="1"/>
    <col min="21" max="16384" width="9.125" style="592" customWidth="1"/>
  </cols>
  <sheetData>
    <row r="1" spans="1:15" ht="27.75" customHeight="1">
      <c r="A1" s="1297" t="s">
        <v>225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</row>
    <row r="2" spans="1:15" ht="33.75" customHeight="1">
      <c r="A2" s="1298" t="s">
        <v>886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</row>
    <row r="3" ht="12.75">
      <c r="O3" s="595" t="s">
        <v>541</v>
      </c>
    </row>
    <row r="4" spans="1:15" ht="40.5" customHeight="1">
      <c r="A4" s="1299" t="s">
        <v>1476</v>
      </c>
      <c r="B4" s="1299" t="s">
        <v>2</v>
      </c>
      <c r="C4" s="1299" t="s">
        <v>3</v>
      </c>
      <c r="D4" s="1299" t="s">
        <v>1341</v>
      </c>
      <c r="E4" s="1299" t="s">
        <v>884</v>
      </c>
      <c r="F4" s="1306" t="s">
        <v>144</v>
      </c>
      <c r="G4" s="1306" t="s">
        <v>143</v>
      </c>
      <c r="H4" s="1306" t="s">
        <v>7</v>
      </c>
      <c r="I4" s="1306" t="s">
        <v>8</v>
      </c>
      <c r="J4" s="1315" t="s">
        <v>885</v>
      </c>
      <c r="K4" s="1316"/>
      <c r="L4" s="1316"/>
      <c r="M4" s="1316"/>
      <c r="N4" s="1317"/>
      <c r="O4" s="1301" t="s">
        <v>12</v>
      </c>
    </row>
    <row r="5" spans="1:15" ht="68.25" customHeight="1">
      <c r="A5" s="1300"/>
      <c r="B5" s="1300"/>
      <c r="C5" s="1300"/>
      <c r="D5" s="1300"/>
      <c r="E5" s="1300"/>
      <c r="F5" s="1307"/>
      <c r="G5" s="1307"/>
      <c r="H5" s="1307"/>
      <c r="I5" s="1307"/>
      <c r="J5" s="1313" t="s">
        <v>9</v>
      </c>
      <c r="K5" s="1304" t="s">
        <v>10</v>
      </c>
      <c r="L5" s="1308" t="s">
        <v>234</v>
      </c>
      <c r="M5" s="1304" t="s">
        <v>11</v>
      </c>
      <c r="N5" s="1308" t="s">
        <v>859</v>
      </c>
      <c r="O5" s="1302"/>
    </row>
    <row r="6" spans="1:15" ht="19.5" customHeight="1">
      <c r="A6" s="1310" t="s">
        <v>303</v>
      </c>
      <c r="B6" s="1311"/>
      <c r="C6" s="1311"/>
      <c r="D6" s="1311"/>
      <c r="E6" s="1312"/>
      <c r="F6" s="596" t="s">
        <v>139</v>
      </c>
      <c r="G6" s="597" t="s">
        <v>140</v>
      </c>
      <c r="H6" s="597" t="s">
        <v>141</v>
      </c>
      <c r="I6" s="598" t="s">
        <v>142</v>
      </c>
      <c r="J6" s="1314"/>
      <c r="K6" s="1305"/>
      <c r="L6" s="1309"/>
      <c r="M6" s="1305"/>
      <c r="N6" s="1309"/>
      <c r="O6" s="1303"/>
    </row>
    <row r="7" spans="1:17" ht="15.75" customHeight="1">
      <c r="A7" s="599" t="s">
        <v>138</v>
      </c>
      <c r="B7" s="600"/>
      <c r="C7" s="600"/>
      <c r="D7" s="600"/>
      <c r="E7" s="601">
        <f aca="true" t="shared" si="0" ref="E7:N7">SUM(E8:E8)</f>
        <v>0</v>
      </c>
      <c r="F7" s="601">
        <f t="shared" si="0"/>
        <v>0</v>
      </c>
      <c r="G7" s="601">
        <f t="shared" si="0"/>
        <v>0</v>
      </c>
      <c r="H7" s="601">
        <f t="shared" si="0"/>
        <v>0</v>
      </c>
      <c r="I7" s="601">
        <f t="shared" si="0"/>
        <v>0</v>
      </c>
      <c r="J7" s="601">
        <f t="shared" si="0"/>
        <v>0</v>
      </c>
      <c r="K7" s="601">
        <f t="shared" si="0"/>
        <v>0</v>
      </c>
      <c r="L7" s="601">
        <f t="shared" si="0"/>
        <v>0</v>
      </c>
      <c r="M7" s="601">
        <f t="shared" si="0"/>
        <v>0</v>
      </c>
      <c r="N7" s="601">
        <f t="shared" si="0"/>
        <v>0</v>
      </c>
      <c r="O7" s="602"/>
      <c r="P7" s="592" t="e">
        <f>+J7+K7+M7+#REF!</f>
        <v>#REF!</v>
      </c>
      <c r="Q7" s="592" t="e">
        <f>+E7-P7</f>
        <v>#REF!</v>
      </c>
    </row>
    <row r="8" spans="1:17" ht="28.5" customHeight="1">
      <c r="A8" s="603"/>
      <c r="B8" s="604"/>
      <c r="C8" s="605"/>
      <c r="D8" s="604"/>
      <c r="E8" s="606">
        <f>SUM(F8:I8)</f>
        <v>0</v>
      </c>
      <c r="F8" s="606"/>
      <c r="G8" s="606"/>
      <c r="H8" s="606"/>
      <c r="I8" s="607"/>
      <c r="J8" s="608">
        <f>E8</f>
        <v>0</v>
      </c>
      <c r="K8" s="609"/>
      <c r="L8" s="609"/>
      <c r="M8" s="609"/>
      <c r="N8" s="1161"/>
      <c r="O8" s="610"/>
      <c r="P8" s="592" t="e">
        <f>+J8+K8+M8+#REF!</f>
        <v>#REF!</v>
      </c>
      <c r="Q8" s="592" t="e">
        <f>+E8-P8</f>
        <v>#REF!</v>
      </c>
    </row>
    <row r="9" spans="1:17" ht="20.25" customHeight="1">
      <c r="A9" s="599" t="s">
        <v>137</v>
      </c>
      <c r="B9" s="600"/>
      <c r="C9" s="600"/>
      <c r="D9" s="600"/>
      <c r="E9" s="601">
        <f aca="true" t="shared" si="1" ref="E9:N9">SUM(E10:E27)</f>
        <v>606644854</v>
      </c>
      <c r="F9" s="601">
        <f t="shared" si="1"/>
        <v>360984714</v>
      </c>
      <c r="G9" s="601">
        <f t="shared" si="1"/>
        <v>0</v>
      </c>
      <c r="H9" s="601">
        <f t="shared" si="1"/>
        <v>138951227</v>
      </c>
      <c r="I9" s="611">
        <f t="shared" si="1"/>
        <v>106708913</v>
      </c>
      <c r="J9" s="612">
        <f t="shared" si="1"/>
        <v>606644854</v>
      </c>
      <c r="K9" s="601">
        <f t="shared" si="1"/>
        <v>0</v>
      </c>
      <c r="L9" s="601">
        <f t="shared" si="1"/>
        <v>0</v>
      </c>
      <c r="M9" s="601">
        <f t="shared" si="1"/>
        <v>0</v>
      </c>
      <c r="N9" s="601">
        <f t="shared" si="1"/>
        <v>255000000</v>
      </c>
      <c r="O9" s="602"/>
      <c r="P9" s="592" t="e">
        <f>+J9+K9+M9+#REF!</f>
        <v>#REF!</v>
      </c>
      <c r="Q9" s="592" t="e">
        <f>+E9-P9</f>
        <v>#REF!</v>
      </c>
    </row>
    <row r="10" spans="1:15" ht="27" customHeight="1">
      <c r="A10" s="613" t="s">
        <v>651</v>
      </c>
      <c r="B10" s="614" t="s">
        <v>165</v>
      </c>
      <c r="C10" s="615" t="s">
        <v>902</v>
      </c>
      <c r="D10" s="616">
        <v>9019</v>
      </c>
      <c r="E10" s="180">
        <f aca="true" t="shared" si="2" ref="E10:E22">SUM(F10:I10)</f>
        <v>4000000</v>
      </c>
      <c r="F10" s="617">
        <v>3149606</v>
      </c>
      <c r="G10" s="617"/>
      <c r="H10" s="617"/>
      <c r="I10" s="618">
        <v>850394</v>
      </c>
      <c r="J10" s="619">
        <f aca="true" t="shared" si="3" ref="J10:J22">E10</f>
        <v>4000000</v>
      </c>
      <c r="K10" s="620"/>
      <c r="L10" s="620"/>
      <c r="M10" s="620"/>
      <c r="N10" s="1161"/>
      <c r="O10" s="621" t="s">
        <v>280</v>
      </c>
    </row>
    <row r="11" spans="1:15" ht="27" customHeight="1">
      <c r="A11" s="622" t="s">
        <v>651</v>
      </c>
      <c r="B11" s="623" t="s">
        <v>165</v>
      </c>
      <c r="C11" s="624" t="s">
        <v>903</v>
      </c>
      <c r="D11" s="625">
        <v>9020</v>
      </c>
      <c r="E11" s="180">
        <f t="shared" si="2"/>
        <v>6000000</v>
      </c>
      <c r="F11" s="626">
        <v>4724409</v>
      </c>
      <c r="G11" s="626"/>
      <c r="H11" s="626"/>
      <c r="I11" s="627">
        <v>1275591</v>
      </c>
      <c r="J11" s="619">
        <f t="shared" si="3"/>
        <v>6000000</v>
      </c>
      <c r="K11" s="628"/>
      <c r="L11" s="628"/>
      <c r="M11" s="628"/>
      <c r="N11" s="1161"/>
      <c r="O11" s="621" t="s">
        <v>280</v>
      </c>
    </row>
    <row r="12" spans="1:15" ht="27" customHeight="1">
      <c r="A12" s="629" t="s">
        <v>905</v>
      </c>
      <c r="B12" s="630" t="s">
        <v>779</v>
      </c>
      <c r="C12" s="954" t="s">
        <v>907</v>
      </c>
      <c r="D12" s="631">
        <v>8049</v>
      </c>
      <c r="E12" s="606">
        <f t="shared" si="2"/>
        <v>128058287</v>
      </c>
      <c r="F12" s="606">
        <f>31415325+73302425+19145344-766969</f>
        <v>123096125</v>
      </c>
      <c r="G12" s="606"/>
      <c r="H12" s="606"/>
      <c r="I12" s="621">
        <f>5169243-207081</f>
        <v>4962162</v>
      </c>
      <c r="J12" s="619">
        <f t="shared" si="3"/>
        <v>128058287</v>
      </c>
      <c r="K12" s="609"/>
      <c r="L12" s="609"/>
      <c r="M12" s="609"/>
      <c r="N12" s="1161"/>
      <c r="O12" s="621" t="s">
        <v>280</v>
      </c>
    </row>
    <row r="13" spans="1:15" ht="27" customHeight="1">
      <c r="A13" s="632" t="s">
        <v>1470</v>
      </c>
      <c r="B13" s="630" t="s">
        <v>779</v>
      </c>
      <c r="C13" s="954" t="s">
        <v>908</v>
      </c>
      <c r="D13" s="633">
        <v>9021</v>
      </c>
      <c r="E13" s="606">
        <f t="shared" si="2"/>
        <v>974050</v>
      </c>
      <c r="F13" s="606">
        <v>766969</v>
      </c>
      <c r="G13" s="606"/>
      <c r="H13" s="606"/>
      <c r="I13" s="621">
        <v>207081</v>
      </c>
      <c r="J13" s="619">
        <f t="shared" si="3"/>
        <v>974050</v>
      </c>
      <c r="K13" s="609"/>
      <c r="L13" s="609"/>
      <c r="M13" s="609"/>
      <c r="N13" s="1161"/>
      <c r="O13" s="621" t="s">
        <v>280</v>
      </c>
    </row>
    <row r="14" spans="1:15" ht="27" customHeight="1">
      <c r="A14" s="632" t="s">
        <v>161</v>
      </c>
      <c r="B14" s="634" t="s">
        <v>779</v>
      </c>
      <c r="C14" s="955" t="s">
        <v>910</v>
      </c>
      <c r="D14" s="633">
        <v>9022</v>
      </c>
      <c r="E14" s="606">
        <f t="shared" si="2"/>
        <v>51000000</v>
      </c>
      <c r="F14" s="606">
        <v>40157480</v>
      </c>
      <c r="G14" s="606"/>
      <c r="H14" s="606"/>
      <c r="I14" s="621">
        <v>10842520</v>
      </c>
      <c r="J14" s="619">
        <f t="shared" si="3"/>
        <v>51000000</v>
      </c>
      <c r="K14" s="609"/>
      <c r="L14" s="609"/>
      <c r="M14" s="609"/>
      <c r="N14" s="1161"/>
      <c r="O14" s="621" t="s">
        <v>280</v>
      </c>
    </row>
    <row r="15" spans="1:15" ht="27" customHeight="1">
      <c r="A15" s="632" t="s">
        <v>161</v>
      </c>
      <c r="B15" s="634" t="s">
        <v>779</v>
      </c>
      <c r="C15" s="955" t="s">
        <v>911</v>
      </c>
      <c r="D15" s="633">
        <v>9023</v>
      </c>
      <c r="E15" s="606">
        <f t="shared" si="2"/>
        <v>55000000</v>
      </c>
      <c r="F15" s="606">
        <v>43307087</v>
      </c>
      <c r="G15" s="606"/>
      <c r="H15" s="606"/>
      <c r="I15" s="621">
        <v>11692913</v>
      </c>
      <c r="J15" s="619">
        <f t="shared" si="3"/>
        <v>55000000</v>
      </c>
      <c r="K15" s="609"/>
      <c r="L15" s="609"/>
      <c r="M15" s="609"/>
      <c r="N15" s="1161"/>
      <c r="O15" s="621" t="s">
        <v>280</v>
      </c>
    </row>
    <row r="16" spans="1:15" ht="27" customHeight="1">
      <c r="A16" s="632" t="s">
        <v>161</v>
      </c>
      <c r="B16" s="634" t="s">
        <v>779</v>
      </c>
      <c r="C16" s="955" t="s">
        <v>1300</v>
      </c>
      <c r="D16" s="633">
        <v>9024</v>
      </c>
      <c r="E16" s="606">
        <f t="shared" si="2"/>
        <v>38100000</v>
      </c>
      <c r="F16" s="606">
        <v>30000000</v>
      </c>
      <c r="G16" s="606"/>
      <c r="H16" s="606"/>
      <c r="I16" s="621">
        <v>8100000</v>
      </c>
      <c r="J16" s="619">
        <f t="shared" si="3"/>
        <v>38100000</v>
      </c>
      <c r="K16" s="609"/>
      <c r="L16" s="609"/>
      <c r="M16" s="609"/>
      <c r="N16" s="1161"/>
      <c r="O16" s="621" t="s">
        <v>280</v>
      </c>
    </row>
    <row r="17" spans="1:15" ht="27" customHeight="1">
      <c r="A17" s="940" t="s">
        <v>161</v>
      </c>
      <c r="B17" s="941" t="s">
        <v>779</v>
      </c>
      <c r="C17" s="955" t="s">
        <v>1342</v>
      </c>
      <c r="D17" s="633">
        <v>9031</v>
      </c>
      <c r="E17" s="606">
        <f t="shared" si="2"/>
        <v>90000000</v>
      </c>
      <c r="F17" s="606">
        <v>70866142</v>
      </c>
      <c r="G17" s="606"/>
      <c r="H17" s="606"/>
      <c r="I17" s="621">
        <v>19133858</v>
      </c>
      <c r="J17" s="619">
        <f t="shared" si="3"/>
        <v>90000000</v>
      </c>
      <c r="K17" s="609"/>
      <c r="L17" s="609"/>
      <c r="M17" s="609"/>
      <c r="N17" s="1161"/>
      <c r="O17" s="621" t="s">
        <v>280</v>
      </c>
    </row>
    <row r="18" spans="1:15" ht="27" customHeight="1">
      <c r="A18" s="632" t="s">
        <v>161</v>
      </c>
      <c r="B18" s="634" t="s">
        <v>779</v>
      </c>
      <c r="C18" s="955" t="s">
        <v>1484</v>
      </c>
      <c r="D18" s="633"/>
      <c r="E18" s="606">
        <f t="shared" si="2"/>
        <v>0</v>
      </c>
      <c r="F18" s="606"/>
      <c r="G18" s="606"/>
      <c r="H18" s="606"/>
      <c r="I18" s="621"/>
      <c r="J18" s="619">
        <f t="shared" si="3"/>
        <v>0</v>
      </c>
      <c r="K18" s="609"/>
      <c r="L18" s="609"/>
      <c r="M18" s="609"/>
      <c r="N18" s="1165">
        <v>129000000</v>
      </c>
      <c r="O18" s="621" t="s">
        <v>280</v>
      </c>
    </row>
    <row r="19" spans="1:15" ht="27" customHeight="1">
      <c r="A19" s="940" t="s">
        <v>161</v>
      </c>
      <c r="B19" s="941" t="s">
        <v>779</v>
      </c>
      <c r="C19" s="955" t="s">
        <v>1485</v>
      </c>
      <c r="D19" s="633"/>
      <c r="E19" s="606">
        <f t="shared" si="2"/>
        <v>0</v>
      </c>
      <c r="F19" s="606"/>
      <c r="G19" s="606"/>
      <c r="H19" s="606"/>
      <c r="I19" s="621"/>
      <c r="J19" s="619">
        <f t="shared" si="3"/>
        <v>0</v>
      </c>
      <c r="K19" s="609"/>
      <c r="L19" s="609"/>
      <c r="M19" s="609"/>
      <c r="N19" s="1165">
        <v>126000000</v>
      </c>
      <c r="O19" s="621" t="s">
        <v>280</v>
      </c>
    </row>
    <row r="20" spans="1:15" ht="27" customHeight="1">
      <c r="A20" s="632" t="s">
        <v>103</v>
      </c>
      <c r="B20" s="634" t="s">
        <v>912</v>
      </c>
      <c r="C20" s="955" t="s">
        <v>913</v>
      </c>
      <c r="D20" s="633">
        <v>9025</v>
      </c>
      <c r="E20" s="606">
        <f t="shared" si="2"/>
        <v>16000000</v>
      </c>
      <c r="F20" s="606">
        <v>12598425</v>
      </c>
      <c r="G20" s="606"/>
      <c r="H20" s="606"/>
      <c r="I20" s="621">
        <v>3401575</v>
      </c>
      <c r="J20" s="619">
        <f t="shared" si="3"/>
        <v>16000000</v>
      </c>
      <c r="K20" s="609"/>
      <c r="L20" s="609"/>
      <c r="M20" s="609"/>
      <c r="N20" s="1161"/>
      <c r="O20" s="621" t="s">
        <v>280</v>
      </c>
    </row>
    <row r="21" spans="1:15" ht="27" customHeight="1">
      <c r="A21" s="632" t="s">
        <v>1289</v>
      </c>
      <c r="B21" s="634" t="s">
        <v>858</v>
      </c>
      <c r="C21" s="955" t="s">
        <v>1290</v>
      </c>
      <c r="D21" s="633">
        <v>9032</v>
      </c>
      <c r="E21" s="606">
        <f t="shared" si="2"/>
        <v>25843668</v>
      </c>
      <c r="F21" s="606">
        <v>20349345</v>
      </c>
      <c r="G21" s="606"/>
      <c r="H21" s="606"/>
      <c r="I21" s="621">
        <v>5494323</v>
      </c>
      <c r="J21" s="619">
        <f t="shared" si="3"/>
        <v>25843668</v>
      </c>
      <c r="K21" s="609"/>
      <c r="L21" s="609"/>
      <c r="M21" s="609"/>
      <c r="N21" s="1161"/>
      <c r="O21" s="621" t="s">
        <v>280</v>
      </c>
    </row>
    <row r="22" spans="1:15" ht="27" customHeight="1">
      <c r="A22" s="632" t="s">
        <v>168</v>
      </c>
      <c r="B22" s="634" t="s">
        <v>851</v>
      </c>
      <c r="C22" s="955" t="s">
        <v>1291</v>
      </c>
      <c r="D22" s="633">
        <v>9033</v>
      </c>
      <c r="E22" s="606">
        <f t="shared" si="2"/>
        <v>7996662</v>
      </c>
      <c r="F22" s="606">
        <v>6296584</v>
      </c>
      <c r="G22" s="606"/>
      <c r="H22" s="606"/>
      <c r="I22" s="621">
        <v>1700078</v>
      </c>
      <c r="J22" s="619">
        <f t="shared" si="3"/>
        <v>7996662</v>
      </c>
      <c r="K22" s="609"/>
      <c r="L22" s="609"/>
      <c r="M22" s="609"/>
      <c r="N22" s="1161"/>
      <c r="O22" s="621" t="s">
        <v>280</v>
      </c>
    </row>
    <row r="23" spans="1:15" ht="27" customHeight="1">
      <c r="A23" s="622" t="s">
        <v>162</v>
      </c>
      <c r="B23" s="623" t="s">
        <v>163</v>
      </c>
      <c r="C23" s="624" t="s">
        <v>844</v>
      </c>
      <c r="D23" s="625">
        <v>8030</v>
      </c>
      <c r="E23" s="626">
        <f>SUM(F23:I23)</f>
        <v>3496172</v>
      </c>
      <c r="F23" s="626"/>
      <c r="G23" s="626"/>
      <c r="H23" s="626">
        <v>2752891</v>
      </c>
      <c r="I23" s="627">
        <v>743281</v>
      </c>
      <c r="J23" s="635">
        <f>E23</f>
        <v>3496172</v>
      </c>
      <c r="K23" s="628"/>
      <c r="L23" s="628"/>
      <c r="M23" s="628"/>
      <c r="N23" s="1162"/>
      <c r="O23" s="627" t="s">
        <v>280</v>
      </c>
    </row>
    <row r="24" spans="1:15" ht="27" customHeight="1">
      <c r="A24" s="622" t="s">
        <v>162</v>
      </c>
      <c r="B24" s="623" t="s">
        <v>163</v>
      </c>
      <c r="C24" s="624" t="s">
        <v>945</v>
      </c>
      <c r="D24" s="625">
        <v>9026</v>
      </c>
      <c r="E24" s="626">
        <f>SUM(F24:I24)</f>
        <v>82628999</v>
      </c>
      <c r="F24" s="626"/>
      <c r="G24" s="626"/>
      <c r="H24" s="626">
        <v>65062204</v>
      </c>
      <c r="I24" s="627">
        <v>17566795</v>
      </c>
      <c r="J24" s="635">
        <f>E24</f>
        <v>82628999</v>
      </c>
      <c r="K24" s="628"/>
      <c r="L24" s="628"/>
      <c r="M24" s="628"/>
      <c r="N24" s="1162"/>
      <c r="O24" s="627" t="s">
        <v>280</v>
      </c>
    </row>
    <row r="25" spans="1:15" ht="27" customHeight="1">
      <c r="A25" s="622" t="s">
        <v>1472</v>
      </c>
      <c r="B25" s="623" t="s">
        <v>734</v>
      </c>
      <c r="C25" s="624" t="s">
        <v>845</v>
      </c>
      <c r="D25" s="625">
        <v>8031</v>
      </c>
      <c r="E25" s="626">
        <f>SUM(F25:I25)</f>
        <v>42971888</v>
      </c>
      <c r="F25" s="626"/>
      <c r="G25" s="626"/>
      <c r="H25" s="626">
        <v>33836132</v>
      </c>
      <c r="I25" s="627">
        <v>9135756</v>
      </c>
      <c r="J25" s="635">
        <f>E25</f>
        <v>42971888</v>
      </c>
      <c r="K25" s="628"/>
      <c r="L25" s="628"/>
      <c r="M25" s="628"/>
      <c r="N25" s="1162"/>
      <c r="O25" s="627" t="s">
        <v>280</v>
      </c>
    </row>
    <row r="26" spans="1:15" ht="27" customHeight="1">
      <c r="A26" s="1142" t="s">
        <v>1472</v>
      </c>
      <c r="B26" s="1143" t="s">
        <v>734</v>
      </c>
      <c r="C26" s="1144" t="s">
        <v>946</v>
      </c>
      <c r="D26" s="636">
        <v>9027</v>
      </c>
      <c r="E26" s="637">
        <f>SUM(F26:I26)</f>
        <v>47371000</v>
      </c>
      <c r="F26" s="637"/>
      <c r="G26" s="637"/>
      <c r="H26" s="637">
        <v>37300000</v>
      </c>
      <c r="I26" s="638">
        <v>10071000</v>
      </c>
      <c r="J26" s="639">
        <f>E26</f>
        <v>47371000</v>
      </c>
      <c r="K26" s="640"/>
      <c r="L26" s="640"/>
      <c r="M26" s="640"/>
      <c r="N26" s="1163"/>
      <c r="O26" s="638" t="s">
        <v>280</v>
      </c>
    </row>
    <row r="27" spans="1:15" ht="27" customHeight="1">
      <c r="A27" s="1145" t="s">
        <v>1471</v>
      </c>
      <c r="B27" s="1146" t="s">
        <v>827</v>
      </c>
      <c r="C27" s="1147" t="s">
        <v>1292</v>
      </c>
      <c r="D27" s="1148">
        <v>9034</v>
      </c>
      <c r="E27" s="1149">
        <f>SUM(F27:I27)</f>
        <v>7204128</v>
      </c>
      <c r="F27" s="1149">
        <v>5672542</v>
      </c>
      <c r="G27" s="1149"/>
      <c r="H27" s="1149"/>
      <c r="I27" s="1150">
        <v>1531586</v>
      </c>
      <c r="J27" s="1152">
        <f>E27</f>
        <v>7204128</v>
      </c>
      <c r="K27" s="1151"/>
      <c r="L27" s="1151"/>
      <c r="M27" s="1151"/>
      <c r="N27" s="1164"/>
      <c r="O27" s="1150" t="s">
        <v>280</v>
      </c>
    </row>
    <row r="28" spans="1:17" ht="27" customHeight="1">
      <c r="A28" s="641" t="s">
        <v>30</v>
      </c>
      <c r="B28" s="642"/>
      <c r="C28" s="643"/>
      <c r="D28" s="643"/>
      <c r="E28" s="644">
        <f>+E9+E7</f>
        <v>606644854</v>
      </c>
      <c r="F28" s="644">
        <f aca="true" t="shared" si="4" ref="F28:N28">+F9+F7</f>
        <v>360984714</v>
      </c>
      <c r="G28" s="644">
        <f t="shared" si="4"/>
        <v>0</v>
      </c>
      <c r="H28" s="644">
        <f t="shared" si="4"/>
        <v>138951227</v>
      </c>
      <c r="I28" s="645">
        <f t="shared" si="4"/>
        <v>106708913</v>
      </c>
      <c r="J28" s="646">
        <f t="shared" si="4"/>
        <v>606644854</v>
      </c>
      <c r="K28" s="644">
        <f t="shared" si="4"/>
        <v>0</v>
      </c>
      <c r="L28" s="644">
        <f t="shared" si="4"/>
        <v>0</v>
      </c>
      <c r="M28" s="644">
        <f t="shared" si="4"/>
        <v>0</v>
      </c>
      <c r="N28" s="644">
        <f t="shared" si="4"/>
        <v>255000000</v>
      </c>
      <c r="O28" s="645"/>
      <c r="P28" s="592" t="e">
        <f>+J28+K28+M28+#REF!</f>
        <v>#REF!</v>
      </c>
      <c r="Q28" s="592" t="e">
        <f>+E28-P28</f>
        <v>#REF!</v>
      </c>
    </row>
    <row r="29" ht="15.75" customHeight="1"/>
    <row r="30" ht="12.75">
      <c r="E30" s="592">
        <f>+'3. sz.Városi szintű összesen'!G17</f>
        <v>606644854</v>
      </c>
    </row>
    <row r="31" ht="15.75" customHeight="1">
      <c r="E31" s="592">
        <v>475600396</v>
      </c>
    </row>
    <row r="32" spans="3:14" ht="12.75">
      <c r="C32" s="956"/>
      <c r="D32" s="647"/>
      <c r="E32" s="648">
        <f>+E28-E31</f>
        <v>131044458</v>
      </c>
      <c r="F32" s="648"/>
      <c r="G32" s="648"/>
      <c r="H32" s="648"/>
      <c r="I32" s="648"/>
      <c r="J32" s="649"/>
      <c r="K32" s="650"/>
      <c r="L32" s="650"/>
      <c r="M32" s="650"/>
      <c r="N32" s="650"/>
    </row>
    <row r="33" spans="3:14" ht="15.75" customHeight="1">
      <c r="C33" s="651"/>
      <c r="D33" s="651"/>
      <c r="E33" s="651"/>
      <c r="F33" s="651"/>
      <c r="G33" s="651"/>
      <c r="H33" s="651"/>
      <c r="I33" s="651"/>
      <c r="J33" s="652"/>
      <c r="K33" s="651"/>
      <c r="L33" s="651"/>
      <c r="M33" s="651"/>
      <c r="N33" s="651"/>
    </row>
    <row r="34" ht="15.75" customHeight="1"/>
    <row r="35" ht="15.75" customHeight="1"/>
    <row r="36" ht="15.75" customHeight="1"/>
    <row r="41" ht="15.75" customHeight="1"/>
    <row r="42" ht="24.75" customHeight="1"/>
    <row r="49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27.75" customHeight="1"/>
    <row r="62" ht="15.75" customHeight="1"/>
    <row r="63" ht="15.75" customHeight="1"/>
    <row r="65" ht="15.75" customHeight="1"/>
    <row r="66" ht="15.75" customHeight="1"/>
    <row r="67" ht="15.75" customHeight="1"/>
    <row r="68" ht="15.75" customHeight="1"/>
    <row r="70" ht="15.75" customHeight="1"/>
    <row r="74" s="653" customFormat="1" ht="24" customHeight="1">
      <c r="J74" s="654"/>
    </row>
    <row r="75" ht="19.5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98" s="653" customFormat="1" ht="24" customHeight="1">
      <c r="J98" s="654"/>
    </row>
    <row r="99" s="655" customFormat="1" ht="28.5" customHeight="1">
      <c r="J99" s="656"/>
    </row>
  </sheetData>
  <sheetProtection/>
  <mergeCells count="19">
    <mergeCell ref="L5:L6"/>
    <mergeCell ref="K5:K6"/>
    <mergeCell ref="A6:E6"/>
    <mergeCell ref="I4:I5"/>
    <mergeCell ref="J5:J6"/>
    <mergeCell ref="H4:H5"/>
    <mergeCell ref="F4:F5"/>
    <mergeCell ref="J4:N4"/>
    <mergeCell ref="N5:N6"/>
    <mergeCell ref="A1:O1"/>
    <mergeCell ref="A2:O2"/>
    <mergeCell ref="A4:A5"/>
    <mergeCell ref="B4:B5"/>
    <mergeCell ref="C4:C5"/>
    <mergeCell ref="E4:E5"/>
    <mergeCell ref="O4:O6"/>
    <mergeCell ref="D4:D5"/>
    <mergeCell ref="M5:M6"/>
    <mergeCell ref="G4:G5"/>
  </mergeCells>
  <printOptions horizontalCentered="1"/>
  <pageMargins left="0.1968503937007874" right="0.1968503937007874" top="0.5905511811023623" bottom="0.15748031496062992" header="0.31496062992125984" footer="0.31496062992125984"/>
  <pageSetup horizontalDpi="600" verticalDpi="600" orientation="landscape" paperSize="9" scale="55" r:id="rId1"/>
  <headerFooter>
    <oddHeader>&amp;C2019. évi költségvetés&amp;R&amp;A
</oddHeader>
    <oddFooter>&amp;C&amp;P/&amp;N</oddFooter>
  </headerFooter>
  <rowBreaks count="2" manualBreakCount="2">
    <brk id="29" max="255" man="1"/>
    <brk id="7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workbookViewId="0" topLeftCell="A43">
      <selection activeCell="C59" sqref="C59"/>
    </sheetView>
  </sheetViews>
  <sheetFormatPr defaultColWidth="9.00390625" defaultRowHeight="12.75"/>
  <cols>
    <col min="1" max="1" width="5.00390625" style="69" customWidth="1"/>
    <col min="2" max="2" width="57.125" style="35" customWidth="1"/>
    <col min="3" max="3" width="18.625" style="71" customWidth="1"/>
    <col min="4" max="4" width="18.875" style="35" customWidth="1"/>
    <col min="5" max="5" width="16.75390625" style="35" bestFit="1" customWidth="1"/>
    <col min="6" max="6" width="9.125" style="35" customWidth="1"/>
    <col min="7" max="7" width="11.875" style="35" bestFit="1" customWidth="1"/>
    <col min="8" max="8" width="12.75390625" style="35" bestFit="1" customWidth="1"/>
    <col min="9" max="16384" width="9.125" style="35" customWidth="1"/>
  </cols>
  <sheetData>
    <row r="1" spans="1:5" ht="29.25" customHeight="1">
      <c r="A1" s="1243" t="s">
        <v>35</v>
      </c>
      <c r="B1" s="1243"/>
      <c r="C1" s="1243"/>
      <c r="D1" s="1243"/>
      <c r="E1" s="1243"/>
    </row>
    <row r="2" ht="12.75">
      <c r="E2" s="72" t="s">
        <v>541</v>
      </c>
    </row>
    <row r="3" spans="1:5" ht="50.25" customHeight="1">
      <c r="A3" s="327" t="s">
        <v>39</v>
      </c>
      <c r="B3" s="67" t="s">
        <v>3</v>
      </c>
      <c r="C3" s="213" t="s">
        <v>36</v>
      </c>
      <c r="D3" s="67" t="s">
        <v>37</v>
      </c>
      <c r="E3" s="68" t="s">
        <v>12</v>
      </c>
    </row>
    <row r="4" spans="1:5" ht="18.75" customHeight="1">
      <c r="A4" s="1318" t="s">
        <v>237</v>
      </c>
      <c r="B4" s="1319"/>
      <c r="C4" s="1319"/>
      <c r="D4" s="1319"/>
      <c r="E4" s="1320"/>
    </row>
    <row r="5" spans="1:5" ht="20.25" customHeight="1">
      <c r="A5" s="1249" t="s">
        <v>38</v>
      </c>
      <c r="B5" s="1250"/>
      <c r="C5" s="193">
        <f>SUM(C6:C7)</f>
        <v>10000000</v>
      </c>
      <c r="D5" s="351"/>
      <c r="E5" s="352"/>
    </row>
    <row r="6" spans="1:5" ht="23.25" customHeight="1">
      <c r="A6" s="268" t="s">
        <v>246</v>
      </c>
      <c r="B6" s="288" t="s">
        <v>963</v>
      </c>
      <c r="C6" s="207">
        <v>5000000</v>
      </c>
      <c r="D6" s="228" t="s">
        <v>40</v>
      </c>
      <c r="E6" s="293" t="s">
        <v>280</v>
      </c>
    </row>
    <row r="7" spans="1:5" ht="20.25" customHeight="1">
      <c r="A7" s="283" t="s">
        <v>247</v>
      </c>
      <c r="B7" s="291" t="s">
        <v>231</v>
      </c>
      <c r="C7" s="294">
        <v>5000000</v>
      </c>
      <c r="D7" s="295" t="s">
        <v>40</v>
      </c>
      <c r="E7" s="296" t="s">
        <v>280</v>
      </c>
    </row>
    <row r="8" spans="1:5" ht="20.25" customHeight="1">
      <c r="A8" s="139"/>
      <c r="B8" s="142" t="s">
        <v>435</v>
      </c>
      <c r="C8" s="203">
        <f>SUM(C9:C15)</f>
        <v>49922040</v>
      </c>
      <c r="D8" s="140"/>
      <c r="E8" s="141"/>
    </row>
    <row r="9" spans="1:5" ht="18.75" customHeight="1">
      <c r="A9" s="134" t="s">
        <v>246</v>
      </c>
      <c r="B9" s="100" t="s">
        <v>436</v>
      </c>
      <c r="C9" s="143">
        <v>2044893</v>
      </c>
      <c r="D9" s="75" t="s">
        <v>40</v>
      </c>
      <c r="E9" s="136" t="s">
        <v>280</v>
      </c>
    </row>
    <row r="10" spans="1:5" ht="18.75" customHeight="1">
      <c r="A10" s="85" t="s">
        <v>247</v>
      </c>
      <c r="B10" s="89" t="s">
        <v>437</v>
      </c>
      <c r="C10" s="123">
        <v>659324</v>
      </c>
      <c r="D10" s="36" t="s">
        <v>40</v>
      </c>
      <c r="E10" s="136" t="s">
        <v>280</v>
      </c>
    </row>
    <row r="11" spans="1:5" ht="18.75" customHeight="1">
      <c r="A11" s="85" t="s">
        <v>248</v>
      </c>
      <c r="B11" s="89" t="s">
        <v>438</v>
      </c>
      <c r="C11" s="123">
        <v>5190055</v>
      </c>
      <c r="D11" s="84" t="s">
        <v>40</v>
      </c>
      <c r="E11" s="136" t="s">
        <v>280</v>
      </c>
    </row>
    <row r="12" spans="1:5" ht="18.75" customHeight="1">
      <c r="A12" s="85" t="s">
        <v>249</v>
      </c>
      <c r="B12" s="89" t="s">
        <v>439</v>
      </c>
      <c r="C12" s="123">
        <v>588203</v>
      </c>
      <c r="D12" s="84" t="s">
        <v>40</v>
      </c>
      <c r="E12" s="136" t="s">
        <v>280</v>
      </c>
    </row>
    <row r="13" spans="1:5" ht="18.75" customHeight="1">
      <c r="A13" s="85" t="s">
        <v>250</v>
      </c>
      <c r="B13" s="89" t="s">
        <v>440</v>
      </c>
      <c r="C13" s="123">
        <v>9494228</v>
      </c>
      <c r="D13" s="84" t="s">
        <v>40</v>
      </c>
      <c r="E13" s="136" t="s">
        <v>280</v>
      </c>
    </row>
    <row r="14" spans="1:5" ht="18.75" customHeight="1">
      <c r="A14" s="86" t="s">
        <v>251</v>
      </c>
      <c r="B14" s="428" t="s">
        <v>847</v>
      </c>
      <c r="C14" s="637">
        <f>47076102-15662120</f>
        <v>31413982</v>
      </c>
      <c r="D14" s="933" t="s">
        <v>40</v>
      </c>
      <c r="E14" s="938" t="s">
        <v>280</v>
      </c>
    </row>
    <row r="15" spans="1:5" ht="18.75" customHeight="1">
      <c r="A15" s="118" t="s">
        <v>252</v>
      </c>
      <c r="B15" s="106" t="s">
        <v>1298</v>
      </c>
      <c r="C15" s="138">
        <f>62550811-45113745-4725000-12180711</f>
        <v>531355</v>
      </c>
      <c r="D15" s="119" t="s">
        <v>40</v>
      </c>
      <c r="E15" s="137" t="s">
        <v>280</v>
      </c>
    </row>
    <row r="16" spans="1:5" ht="18.75" customHeight="1">
      <c r="A16" s="139"/>
      <c r="B16" s="142" t="s">
        <v>539</v>
      </c>
      <c r="C16" s="203">
        <f>C17</f>
        <v>0</v>
      </c>
      <c r="D16" s="140"/>
      <c r="E16" s="141"/>
    </row>
    <row r="17" spans="1:5" ht="18.75" customHeight="1">
      <c r="A17" s="197"/>
      <c r="B17" s="198"/>
      <c r="C17" s="204"/>
      <c r="D17" s="119"/>
      <c r="E17" s="137"/>
    </row>
    <row r="18" spans="1:5" ht="20.25" customHeight="1">
      <c r="A18" s="1318" t="s">
        <v>238</v>
      </c>
      <c r="B18" s="1319"/>
      <c r="C18" s="1319"/>
      <c r="D18" s="1319"/>
      <c r="E18" s="1320"/>
    </row>
    <row r="19" spans="1:5" s="70" customFormat="1" ht="20.25" customHeight="1">
      <c r="A19" s="1249" t="s">
        <v>239</v>
      </c>
      <c r="B19" s="1250"/>
      <c r="C19" s="193">
        <f>+C20</f>
        <v>0</v>
      </c>
      <c r="D19" s="194"/>
      <c r="E19" s="195"/>
    </row>
    <row r="20" spans="1:5" ht="20.25" customHeight="1">
      <c r="A20" s="353"/>
      <c r="B20" s="354"/>
      <c r="C20" s="155">
        <v>0</v>
      </c>
      <c r="D20" s="355"/>
      <c r="E20" s="356"/>
    </row>
    <row r="21" spans="1:5" ht="20.25" customHeight="1">
      <c r="A21" s="112"/>
      <c r="B21" s="92"/>
      <c r="C21" s="93"/>
      <c r="D21" s="94"/>
      <c r="E21" s="144"/>
    </row>
    <row r="22" spans="1:5" s="70" customFormat="1" ht="20.25" customHeight="1">
      <c r="A22" s="1249" t="s">
        <v>240</v>
      </c>
      <c r="B22" s="1250"/>
      <c r="C22" s="193">
        <f>SUM(C23:C33)</f>
        <v>242364000</v>
      </c>
      <c r="D22" s="194"/>
      <c r="E22" s="195"/>
    </row>
    <row r="23" spans="1:5" ht="18.75" customHeight="1">
      <c r="A23" s="252" t="s">
        <v>246</v>
      </c>
      <c r="B23" s="124" t="s">
        <v>50</v>
      </c>
      <c r="C23" s="239">
        <f>70000000+30500000+14000000</f>
        <v>114500000</v>
      </c>
      <c r="D23" s="211" t="s">
        <v>40</v>
      </c>
      <c r="E23" s="292" t="s">
        <v>280</v>
      </c>
    </row>
    <row r="24" spans="1:5" ht="18.75" customHeight="1">
      <c r="A24" s="252" t="s">
        <v>247</v>
      </c>
      <c r="B24" s="124" t="s">
        <v>790</v>
      </c>
      <c r="C24" s="239">
        <v>6000000</v>
      </c>
      <c r="D24" s="211" t="s">
        <v>40</v>
      </c>
      <c r="E24" s="292" t="s">
        <v>280</v>
      </c>
    </row>
    <row r="25" spans="1:5" ht="18.75" customHeight="1">
      <c r="A25" s="252" t="s">
        <v>248</v>
      </c>
      <c r="B25" s="124" t="s">
        <v>965</v>
      </c>
      <c r="C25" s="239">
        <v>13500000</v>
      </c>
      <c r="D25" s="211" t="s">
        <v>40</v>
      </c>
      <c r="E25" s="292" t="s">
        <v>280</v>
      </c>
    </row>
    <row r="26" spans="1:5" ht="18.75" customHeight="1">
      <c r="A26" s="252" t="s">
        <v>249</v>
      </c>
      <c r="B26" s="259" t="s">
        <v>45</v>
      </c>
      <c r="C26" s="239">
        <v>2000000</v>
      </c>
      <c r="D26" s="211" t="s">
        <v>40</v>
      </c>
      <c r="E26" s="292" t="s">
        <v>280</v>
      </c>
    </row>
    <row r="27" spans="1:5" ht="33" customHeight="1">
      <c r="A27" s="252" t="s">
        <v>250</v>
      </c>
      <c r="B27" s="259" t="s">
        <v>46</v>
      </c>
      <c r="C27" s="239">
        <v>2000000</v>
      </c>
      <c r="D27" s="297" t="s">
        <v>43</v>
      </c>
      <c r="E27" s="292" t="s">
        <v>280</v>
      </c>
    </row>
    <row r="28" spans="1:5" ht="28.5" customHeight="1">
      <c r="A28" s="252" t="s">
        <v>251</v>
      </c>
      <c r="B28" s="259" t="s">
        <v>47</v>
      </c>
      <c r="C28" s="239">
        <v>2000000</v>
      </c>
      <c r="D28" s="297" t="s">
        <v>43</v>
      </c>
      <c r="E28" s="292" t="s">
        <v>280</v>
      </c>
    </row>
    <row r="29" spans="1:5" ht="18.75" customHeight="1">
      <c r="A29" s="252" t="s">
        <v>252</v>
      </c>
      <c r="B29" s="259" t="s">
        <v>48</v>
      </c>
      <c r="C29" s="239">
        <v>5000000</v>
      </c>
      <c r="D29" s="211" t="s">
        <v>40</v>
      </c>
      <c r="E29" s="292" t="s">
        <v>280</v>
      </c>
    </row>
    <row r="30" spans="1:5" ht="18.75" customHeight="1">
      <c r="A30" s="252" t="s">
        <v>253</v>
      </c>
      <c r="B30" s="263" t="s">
        <v>49</v>
      </c>
      <c r="C30" s="264">
        <v>2000000</v>
      </c>
      <c r="D30" s="228" t="s">
        <v>40</v>
      </c>
      <c r="E30" s="293" t="s">
        <v>280</v>
      </c>
    </row>
    <row r="31" spans="1:5" ht="18.75" customHeight="1">
      <c r="A31" s="252" t="s">
        <v>254</v>
      </c>
      <c r="B31" s="89" t="s">
        <v>636</v>
      </c>
      <c r="C31" s="239"/>
      <c r="D31" s="228" t="s">
        <v>40</v>
      </c>
      <c r="E31" s="292" t="s">
        <v>280</v>
      </c>
    </row>
    <row r="32" spans="1:5" ht="18.75" customHeight="1">
      <c r="A32" s="252" t="s">
        <v>255</v>
      </c>
      <c r="B32" s="428" t="s">
        <v>791</v>
      </c>
      <c r="C32" s="264">
        <v>15000000</v>
      </c>
      <c r="D32" s="228" t="s">
        <v>40</v>
      </c>
      <c r="E32" s="292" t="s">
        <v>280</v>
      </c>
    </row>
    <row r="33" spans="1:5" ht="18.75" customHeight="1">
      <c r="A33" s="252" t="s">
        <v>256</v>
      </c>
      <c r="B33" s="428" t="s">
        <v>866</v>
      </c>
      <c r="C33" s="264">
        <v>80364000</v>
      </c>
      <c r="D33" s="228" t="s">
        <v>40</v>
      </c>
      <c r="E33" s="292" t="s">
        <v>280</v>
      </c>
    </row>
    <row r="34" spans="1:5" ht="20.25" customHeight="1">
      <c r="A34" s="112"/>
      <c r="B34" s="92"/>
      <c r="C34" s="93"/>
      <c r="D34" s="94"/>
      <c r="E34" s="95"/>
    </row>
    <row r="35" spans="1:5" s="70" customFormat="1" ht="20.25" customHeight="1">
      <c r="A35" s="1323" t="s">
        <v>241</v>
      </c>
      <c r="B35" s="1324"/>
      <c r="C35" s="190">
        <f>SUM(C36:C38)</f>
        <v>115000000</v>
      </c>
      <c r="D35" s="191"/>
      <c r="E35" s="192"/>
    </row>
    <row r="36" spans="1:5" s="70" customFormat="1" ht="20.25" customHeight="1">
      <c r="A36" s="274" t="s">
        <v>246</v>
      </c>
      <c r="B36" s="479" t="s">
        <v>147</v>
      </c>
      <c r="C36" s="298">
        <v>50000000</v>
      </c>
      <c r="D36" s="275" t="s">
        <v>40</v>
      </c>
      <c r="E36" s="299" t="s">
        <v>280</v>
      </c>
    </row>
    <row r="37" spans="1:6" ht="24.75" customHeight="1">
      <c r="A37" s="274" t="s">
        <v>247</v>
      </c>
      <c r="B37" s="479" t="s">
        <v>955</v>
      </c>
      <c r="C37" s="298">
        <v>60000000</v>
      </c>
      <c r="D37" s="275" t="s">
        <v>40</v>
      </c>
      <c r="E37" s="299" t="s">
        <v>280</v>
      </c>
      <c r="F37" s="35" t="s">
        <v>865</v>
      </c>
    </row>
    <row r="38" spans="1:5" ht="24.75" customHeight="1">
      <c r="A38" s="274" t="s">
        <v>248</v>
      </c>
      <c r="B38" s="479" t="s">
        <v>1299</v>
      </c>
      <c r="C38" s="298">
        <v>5000000</v>
      </c>
      <c r="D38" s="275" t="s">
        <v>40</v>
      </c>
      <c r="E38" s="299" t="s">
        <v>280</v>
      </c>
    </row>
    <row r="39" spans="1:5" ht="23.25" customHeight="1">
      <c r="A39" s="98"/>
      <c r="B39" s="96"/>
      <c r="C39" s="97"/>
      <c r="D39" s="96"/>
      <c r="E39" s="469"/>
    </row>
    <row r="40" spans="1:5" ht="20.25" customHeight="1">
      <c r="A40" s="1249" t="s">
        <v>242</v>
      </c>
      <c r="B40" s="1250"/>
      <c r="C40" s="193">
        <f>SUM(C41:C43)</f>
        <v>17500000</v>
      </c>
      <c r="D40" s="1326"/>
      <c r="E40" s="1327"/>
    </row>
    <row r="41" spans="1:5" ht="34.5" customHeight="1">
      <c r="A41" s="254" t="s">
        <v>246</v>
      </c>
      <c r="B41" s="117" t="s">
        <v>956</v>
      </c>
      <c r="C41" s="180">
        <v>15000000</v>
      </c>
      <c r="D41" s="257" t="s">
        <v>42</v>
      </c>
      <c r="E41" s="350" t="s">
        <v>280</v>
      </c>
    </row>
    <row r="42" spans="1:5" ht="25.5">
      <c r="A42" s="252" t="s">
        <v>247</v>
      </c>
      <c r="B42" s="124" t="s">
        <v>41</v>
      </c>
      <c r="C42" s="206">
        <v>1000000</v>
      </c>
      <c r="D42" s="297" t="s">
        <v>43</v>
      </c>
      <c r="E42" s="292" t="s">
        <v>280</v>
      </c>
    </row>
    <row r="43" spans="1:5" ht="30" customHeight="1">
      <c r="A43" s="283" t="s">
        <v>248</v>
      </c>
      <c r="B43" s="291" t="s">
        <v>935</v>
      </c>
      <c r="C43" s="286">
        <v>1500000</v>
      </c>
      <c r="D43" s="300" t="s">
        <v>43</v>
      </c>
      <c r="E43" s="296" t="s">
        <v>280</v>
      </c>
    </row>
    <row r="44" spans="1:5" ht="18.75" customHeight="1">
      <c r="A44" s="107"/>
      <c r="B44" s="108"/>
      <c r="C44" s="97"/>
      <c r="D44" s="109"/>
      <c r="E44" s="99"/>
    </row>
    <row r="45" spans="1:5" s="70" customFormat="1" ht="20.25" customHeight="1">
      <c r="A45" s="1249" t="s">
        <v>243</v>
      </c>
      <c r="B45" s="1250"/>
      <c r="C45" s="193">
        <f>SUM(C46:C53)</f>
        <v>353501676</v>
      </c>
      <c r="D45" s="194"/>
      <c r="E45" s="195"/>
    </row>
    <row r="46" spans="1:5" s="70" customFormat="1" ht="19.5" customHeight="1">
      <c r="A46" s="254" t="s">
        <v>246</v>
      </c>
      <c r="B46" s="117" t="s">
        <v>481</v>
      </c>
      <c r="C46" s="180">
        <v>5000000</v>
      </c>
      <c r="D46" s="257" t="s">
        <v>40</v>
      </c>
      <c r="E46" s="350" t="s">
        <v>280</v>
      </c>
    </row>
    <row r="47" spans="1:5" s="70" customFormat="1" ht="19.5" customHeight="1">
      <c r="A47" s="254" t="s">
        <v>247</v>
      </c>
      <c r="B47" s="124" t="s">
        <v>44</v>
      </c>
      <c r="C47" s="206">
        <v>10000000</v>
      </c>
      <c r="D47" s="211" t="s">
        <v>40</v>
      </c>
      <c r="E47" s="293" t="s">
        <v>280</v>
      </c>
    </row>
    <row r="48" spans="1:5" s="70" customFormat="1" ht="24" customHeight="1">
      <c r="A48" s="254" t="s">
        <v>248</v>
      </c>
      <c r="B48" s="288" t="s">
        <v>1307</v>
      </c>
      <c r="C48" s="207">
        <v>105831926</v>
      </c>
      <c r="D48" s="211" t="s">
        <v>40</v>
      </c>
      <c r="E48" s="293" t="s">
        <v>280</v>
      </c>
    </row>
    <row r="49" spans="1:5" s="70" customFormat="1" ht="24" customHeight="1">
      <c r="A49" s="254" t="s">
        <v>249</v>
      </c>
      <c r="B49" s="288" t="s">
        <v>1345</v>
      </c>
      <c r="C49" s="207">
        <f>200000000-13000000</f>
        <v>187000000</v>
      </c>
      <c r="D49" s="211" t="s">
        <v>40</v>
      </c>
      <c r="E49" s="293" t="s">
        <v>280</v>
      </c>
    </row>
    <row r="50" spans="1:5" s="70" customFormat="1" ht="21" customHeight="1">
      <c r="A50" s="254" t="s">
        <v>250</v>
      </c>
      <c r="B50" s="288" t="s">
        <v>894</v>
      </c>
      <c r="C50" s="207">
        <f>40058091-13500000-400000-1016000-5000000-1000000-1787050-6123481-3943750</f>
        <v>7287810</v>
      </c>
      <c r="D50" s="211" t="s">
        <v>40</v>
      </c>
      <c r="E50" s="293" t="s">
        <v>280</v>
      </c>
    </row>
    <row r="51" spans="1:5" s="70" customFormat="1" ht="21" customHeight="1">
      <c r="A51" s="254" t="s">
        <v>251</v>
      </c>
      <c r="B51" s="124" t="s">
        <v>740</v>
      </c>
      <c r="C51" s="239">
        <v>25000000</v>
      </c>
      <c r="D51" s="211" t="s">
        <v>40</v>
      </c>
      <c r="E51" s="293" t="s">
        <v>280</v>
      </c>
    </row>
    <row r="52" spans="1:5" s="70" customFormat="1" ht="19.5" customHeight="1">
      <c r="A52" s="254" t="s">
        <v>252</v>
      </c>
      <c r="B52" s="124" t="s">
        <v>441</v>
      </c>
      <c r="C52" s="206">
        <v>15703</v>
      </c>
      <c r="D52" s="211" t="s">
        <v>40</v>
      </c>
      <c r="E52" s="293" t="s">
        <v>280</v>
      </c>
    </row>
    <row r="53" spans="1:8" s="590" customFormat="1" ht="22.5" customHeight="1">
      <c r="A53" s="283" t="s">
        <v>253</v>
      </c>
      <c r="B53" s="291" t="s">
        <v>949</v>
      </c>
      <c r="C53" s="294">
        <v>13366237</v>
      </c>
      <c r="D53" s="295" t="s">
        <v>40</v>
      </c>
      <c r="E53" s="296" t="s">
        <v>280</v>
      </c>
      <c r="H53" s="591"/>
    </row>
    <row r="54" spans="1:5" ht="21" customHeight="1">
      <c r="A54" s="98"/>
      <c r="B54" s="96"/>
      <c r="C54" s="97"/>
      <c r="D54" s="96"/>
      <c r="E54" s="469"/>
    </row>
    <row r="55" spans="1:5" s="70" customFormat="1" ht="20.25" customHeight="1">
      <c r="A55" s="1249" t="s">
        <v>964</v>
      </c>
      <c r="B55" s="1250"/>
      <c r="C55" s="193">
        <f>SUM(C56:C57)</f>
        <v>30600000</v>
      </c>
      <c r="D55" s="329"/>
      <c r="E55" s="195"/>
    </row>
    <row r="56" spans="1:5" ht="19.5" customHeight="1">
      <c r="A56" s="254" t="s">
        <v>246</v>
      </c>
      <c r="B56" s="255" t="s">
        <v>51</v>
      </c>
      <c r="C56" s="181">
        <v>25000000</v>
      </c>
      <c r="D56" s="257" t="s">
        <v>42</v>
      </c>
      <c r="E56" s="350" t="s">
        <v>280</v>
      </c>
    </row>
    <row r="57" spans="1:5" ht="19.5" customHeight="1">
      <c r="A57" s="252" t="s">
        <v>247</v>
      </c>
      <c r="B57" s="259" t="s">
        <v>52</v>
      </c>
      <c r="C57" s="239">
        <v>5600000</v>
      </c>
      <c r="D57" s="211" t="s">
        <v>40</v>
      </c>
      <c r="E57" s="292" t="s">
        <v>280</v>
      </c>
    </row>
    <row r="58" spans="1:5" s="5" customFormat="1" ht="24" customHeight="1">
      <c r="A58" s="1321" t="s">
        <v>53</v>
      </c>
      <c r="B58" s="1322"/>
      <c r="C58" s="185">
        <f>+C55+C45+C40+C35+C22+C19+C5+C8+C16</f>
        <v>818887716</v>
      </c>
      <c r="D58" s="186"/>
      <c r="E58" s="187"/>
    </row>
    <row r="59" spans="1:5" ht="12.75">
      <c r="A59" s="168"/>
      <c r="B59" s="188"/>
      <c r="C59" s="189">
        <f>+C58-C55</f>
        <v>788287716</v>
      </c>
      <c r="D59" s="188"/>
      <c r="E59" s="188"/>
    </row>
    <row r="60" spans="1:5" ht="74.25" customHeight="1">
      <c r="A60" s="1325"/>
      <c r="B60" s="1325"/>
      <c r="C60" s="1325"/>
      <c r="D60" s="1325"/>
      <c r="E60" s="1325"/>
    </row>
    <row r="61" spans="1:5" ht="12.75">
      <c r="A61" s="1325"/>
      <c r="B61" s="1325"/>
      <c r="C61" s="1325"/>
      <c r="D61" s="1325"/>
      <c r="E61" s="1325"/>
    </row>
    <row r="62" spans="1:5" ht="12.75">
      <c r="A62" s="1325"/>
      <c r="B62" s="1325"/>
      <c r="C62" s="1325"/>
      <c r="D62" s="1325"/>
      <c r="E62" s="1325"/>
    </row>
    <row r="63" spans="1:5" ht="12.75">
      <c r="A63" s="1325"/>
      <c r="B63" s="1325"/>
      <c r="C63" s="1325"/>
      <c r="D63" s="1325"/>
      <c r="E63" s="1325"/>
    </row>
  </sheetData>
  <sheetProtection/>
  <mergeCells count="13">
    <mergeCell ref="A60:E63"/>
    <mergeCell ref="A1:E1"/>
    <mergeCell ref="A5:B5"/>
    <mergeCell ref="A19:B19"/>
    <mergeCell ref="A22:B22"/>
    <mergeCell ref="A4:E4"/>
    <mergeCell ref="D40:E40"/>
    <mergeCell ref="A18:E18"/>
    <mergeCell ref="A58:B58"/>
    <mergeCell ref="A40:B40"/>
    <mergeCell ref="A45:B45"/>
    <mergeCell ref="A55:B55"/>
    <mergeCell ref="A35:B35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60" r:id="rId1"/>
  <headerFooter>
    <oddHeader>&amp;C2019. évi költségvetés&amp;R&amp;A</oddHeader>
    <oddFooter>&amp;C
&amp;P/&amp;N</oddFooter>
  </headerFooter>
  <rowBreaks count="1" manualBreakCount="1">
    <brk id="58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workbookViewId="0" topLeftCell="A1">
      <selection activeCell="A4" sqref="A4:A6"/>
    </sheetView>
  </sheetViews>
  <sheetFormatPr defaultColWidth="10.375" defaultRowHeight="12.75"/>
  <cols>
    <col min="1" max="1" width="4.375" style="11" customWidth="1"/>
    <col min="2" max="2" width="4.625" style="11" customWidth="1"/>
    <col min="3" max="3" width="10.375" style="11" customWidth="1"/>
    <col min="4" max="4" width="65.375" style="11" customWidth="1"/>
    <col min="5" max="5" width="19.375" style="11" customWidth="1"/>
    <col min="6" max="16384" width="10.375" style="11" customWidth="1"/>
  </cols>
  <sheetData>
    <row r="1" spans="1:5" ht="20.25" customHeight="1">
      <c r="A1" s="1243" t="s">
        <v>407</v>
      </c>
      <c r="B1" s="1243"/>
      <c r="C1" s="1243"/>
      <c r="D1" s="1243"/>
      <c r="E1" s="1243"/>
    </row>
    <row r="2" spans="1:5" ht="17.25" customHeight="1">
      <c r="A2" s="1248" t="s">
        <v>886</v>
      </c>
      <c r="B2" s="1248"/>
      <c r="C2" s="1248"/>
      <c r="D2" s="1248"/>
      <c r="E2" s="1248"/>
    </row>
    <row r="3" spans="1:5" ht="12.75">
      <c r="A3" s="35"/>
      <c r="B3" s="35"/>
      <c r="C3" s="35"/>
      <c r="D3" s="35"/>
      <c r="E3" s="72"/>
    </row>
    <row r="4" spans="1:7" ht="30.75" customHeight="1">
      <c r="A4" s="1330" t="s">
        <v>55</v>
      </c>
      <c r="B4" s="1338" t="s">
        <v>3</v>
      </c>
      <c r="C4" s="1338"/>
      <c r="D4" s="1338"/>
      <c r="E4" s="328" t="s">
        <v>336</v>
      </c>
      <c r="F4" s="202"/>
      <c r="G4" s="109"/>
    </row>
    <row r="5" spans="1:7" ht="23.25" customHeight="1">
      <c r="A5" s="1331"/>
      <c r="B5" s="1335" t="s">
        <v>1475</v>
      </c>
      <c r="C5" s="1281" t="s">
        <v>95</v>
      </c>
      <c r="D5" s="37" t="s">
        <v>149</v>
      </c>
      <c r="E5" s="1328" t="s">
        <v>717</v>
      </c>
      <c r="F5" s="33"/>
      <c r="G5" s="33"/>
    </row>
    <row r="6" spans="1:5" ht="27.75" customHeight="1">
      <c r="A6" s="1332"/>
      <c r="B6" s="1336"/>
      <c r="C6" s="1281"/>
      <c r="D6" s="37" t="s">
        <v>150</v>
      </c>
      <c r="E6" s="1329"/>
    </row>
    <row r="7" spans="1:5" s="13" customFormat="1" ht="27.75" customHeight="1">
      <c r="A7" s="1337" t="s">
        <v>156</v>
      </c>
      <c r="B7" s="1337"/>
      <c r="C7" s="1337"/>
      <c r="D7" s="1337"/>
      <c r="E7" s="38">
        <f>SUM(E8:E19)</f>
        <v>41808938</v>
      </c>
    </row>
    <row r="8" spans="1:5" ht="23.25" customHeight="1">
      <c r="A8" s="101" t="s">
        <v>246</v>
      </c>
      <c r="B8" s="244">
        <v>201</v>
      </c>
      <c r="C8" s="62" t="s">
        <v>443</v>
      </c>
      <c r="D8" s="102" t="s">
        <v>157</v>
      </c>
      <c r="E8" s="103">
        <v>0</v>
      </c>
    </row>
    <row r="9" spans="1:5" ht="19.5" customHeight="1">
      <c r="A9" s="104" t="s">
        <v>247</v>
      </c>
      <c r="B9" s="243">
        <v>202</v>
      </c>
      <c r="C9" s="12" t="s">
        <v>443</v>
      </c>
      <c r="D9" s="24" t="s">
        <v>650</v>
      </c>
      <c r="E9" s="135">
        <f>19000000</f>
        <v>19000000</v>
      </c>
    </row>
    <row r="10" spans="1:5" ht="24" customHeight="1">
      <c r="A10" s="104" t="s">
        <v>248</v>
      </c>
      <c r="B10" s="243">
        <v>202</v>
      </c>
      <c r="C10" s="12" t="s">
        <v>443</v>
      </c>
      <c r="D10" s="24" t="s">
        <v>712</v>
      </c>
      <c r="E10" s="135">
        <v>5000000</v>
      </c>
    </row>
    <row r="11" spans="1:5" ht="22.5" customHeight="1">
      <c r="A11" s="104" t="s">
        <v>249</v>
      </c>
      <c r="B11" s="243">
        <v>202</v>
      </c>
      <c r="C11" s="12" t="s">
        <v>444</v>
      </c>
      <c r="D11" s="24" t="s">
        <v>152</v>
      </c>
      <c r="E11" s="135">
        <f>3000000</f>
        <v>3000000</v>
      </c>
    </row>
    <row r="12" spans="1:5" ht="24" customHeight="1">
      <c r="A12" s="104" t="s">
        <v>250</v>
      </c>
      <c r="B12" s="243">
        <v>202</v>
      </c>
      <c r="C12" s="12" t="s">
        <v>446</v>
      </c>
      <c r="D12" s="24" t="s">
        <v>445</v>
      </c>
      <c r="E12" s="135">
        <v>500000</v>
      </c>
    </row>
    <row r="13" spans="1:5" ht="24" customHeight="1">
      <c r="A13" s="104" t="s">
        <v>251</v>
      </c>
      <c r="B13" s="243">
        <v>203</v>
      </c>
      <c r="C13" s="12" t="s">
        <v>637</v>
      </c>
      <c r="D13" s="24" t="s">
        <v>153</v>
      </c>
      <c r="E13" s="135">
        <v>1000000</v>
      </c>
    </row>
    <row r="14" spans="1:5" ht="24" customHeight="1">
      <c r="A14" s="104" t="s">
        <v>252</v>
      </c>
      <c r="B14" s="243">
        <v>204</v>
      </c>
      <c r="C14" s="12" t="s">
        <v>443</v>
      </c>
      <c r="D14" s="24" t="s">
        <v>652</v>
      </c>
      <c r="E14" s="135">
        <v>2300000</v>
      </c>
    </row>
    <row r="15" spans="1:5" ht="31.5" customHeight="1">
      <c r="A15" s="104" t="s">
        <v>253</v>
      </c>
      <c r="B15" s="243">
        <v>205</v>
      </c>
      <c r="C15" s="12" t="s">
        <v>446</v>
      </c>
      <c r="D15" s="24" t="s">
        <v>821</v>
      </c>
      <c r="E15" s="135">
        <f>2500000+8938</f>
        <v>2508938</v>
      </c>
    </row>
    <row r="16" spans="1:5" ht="24.75" customHeight="1">
      <c r="A16" s="104" t="s">
        <v>254</v>
      </c>
      <c r="B16" s="243">
        <v>206</v>
      </c>
      <c r="C16" s="12" t="s">
        <v>446</v>
      </c>
      <c r="D16" s="24" t="s">
        <v>155</v>
      </c>
      <c r="E16" s="135">
        <v>3000000</v>
      </c>
    </row>
    <row r="17" spans="1:5" ht="24.75" customHeight="1">
      <c r="A17" s="104" t="s">
        <v>255</v>
      </c>
      <c r="B17" s="242">
        <v>211</v>
      </c>
      <c r="C17" s="12" t="s">
        <v>444</v>
      </c>
      <c r="D17" s="24" t="s">
        <v>154</v>
      </c>
      <c r="E17" s="135">
        <v>500000</v>
      </c>
    </row>
    <row r="18" spans="1:5" ht="30" customHeight="1">
      <c r="A18" s="104" t="s">
        <v>256</v>
      </c>
      <c r="B18" s="466">
        <v>212</v>
      </c>
      <c r="C18" s="21" t="s">
        <v>446</v>
      </c>
      <c r="D18" s="467" t="s">
        <v>476</v>
      </c>
      <c r="E18" s="676">
        <v>500000</v>
      </c>
    </row>
    <row r="19" spans="1:5" ht="26.25" customHeight="1">
      <c r="A19" s="61" t="s">
        <v>283</v>
      </c>
      <c r="B19" s="468">
        <v>215</v>
      </c>
      <c r="C19" s="429" t="s">
        <v>443</v>
      </c>
      <c r="D19" s="111" t="s">
        <v>480</v>
      </c>
      <c r="E19" s="1092">
        <v>4500000</v>
      </c>
    </row>
    <row r="20" spans="1:5" ht="12.75">
      <c r="A20" s="1333"/>
      <c r="B20" s="1333"/>
      <c r="C20" s="1333"/>
      <c r="D20" s="1333"/>
      <c r="E20" s="1333"/>
    </row>
    <row r="21" spans="1:5" ht="23.25" customHeight="1">
      <c r="A21" s="1334" t="s">
        <v>739</v>
      </c>
      <c r="B21" s="1334"/>
      <c r="C21" s="1334"/>
      <c r="D21" s="1334"/>
      <c r="E21" s="374">
        <f>E7</f>
        <v>41808938</v>
      </c>
    </row>
  </sheetData>
  <sheetProtection/>
  <mergeCells count="10">
    <mergeCell ref="E5:E6"/>
    <mergeCell ref="A4:A6"/>
    <mergeCell ref="A20:E20"/>
    <mergeCell ref="A21:D21"/>
    <mergeCell ref="B5:B6"/>
    <mergeCell ref="A1:E1"/>
    <mergeCell ref="A2:E2"/>
    <mergeCell ref="A7:D7"/>
    <mergeCell ref="C5:C6"/>
    <mergeCell ref="B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&amp;C2019. évi költségvetés&amp;R&amp;A</oddHeader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90" zoomScaleSheetLayoutView="90" workbookViewId="0" topLeftCell="A1">
      <selection activeCell="B4" sqref="B4:B5"/>
    </sheetView>
  </sheetViews>
  <sheetFormatPr defaultColWidth="9.00390625" defaultRowHeight="12.75"/>
  <cols>
    <col min="1" max="1" width="4.625" style="11" customWidth="1"/>
    <col min="2" max="2" width="6.25390625" style="11" customWidth="1"/>
    <col min="3" max="3" width="51.375" style="11" customWidth="1"/>
    <col min="4" max="4" width="21.00390625" style="11" customWidth="1"/>
    <col min="5" max="5" width="18.875" style="11" customWidth="1"/>
    <col min="6" max="6" width="14.625" style="11" customWidth="1"/>
    <col min="7" max="7" width="20.00390625" style="11" customWidth="1"/>
    <col min="8" max="8" width="9.125" style="11" customWidth="1"/>
    <col min="9" max="9" width="17.00390625" style="11" bestFit="1" customWidth="1"/>
    <col min="10" max="11" width="14.25390625" style="11" bestFit="1" customWidth="1"/>
    <col min="12" max="12" width="11.75390625" style="11" bestFit="1" customWidth="1"/>
    <col min="13" max="13" width="14.125" style="11" bestFit="1" customWidth="1"/>
    <col min="14" max="14" width="12.00390625" style="11" bestFit="1" customWidth="1"/>
    <col min="15" max="16384" width="9.125" style="11" customWidth="1"/>
  </cols>
  <sheetData>
    <row r="1" spans="1:6" ht="27.75" customHeight="1">
      <c r="A1" s="1342" t="s">
        <v>226</v>
      </c>
      <c r="B1" s="1342"/>
      <c r="C1" s="1342"/>
      <c r="D1" s="1342"/>
      <c r="E1" s="1342"/>
      <c r="F1" s="1342"/>
    </row>
    <row r="2" spans="1:6" ht="25.5" customHeight="1">
      <c r="A2" s="1283" t="s">
        <v>886</v>
      </c>
      <c r="B2" s="1283"/>
      <c r="C2" s="1283"/>
      <c r="D2" s="1283"/>
      <c r="E2" s="1283"/>
      <c r="F2" s="1283"/>
    </row>
    <row r="3" ht="12.75">
      <c r="F3" s="196" t="s">
        <v>541</v>
      </c>
    </row>
    <row r="4" spans="1:6" ht="36" customHeight="1">
      <c r="A4" s="1335" t="s">
        <v>447</v>
      </c>
      <c r="B4" s="1335" t="s">
        <v>1475</v>
      </c>
      <c r="C4" s="1328" t="s">
        <v>3</v>
      </c>
      <c r="D4" s="1281" t="s">
        <v>720</v>
      </c>
      <c r="E4" s="1281"/>
      <c r="F4" s="1281" t="s">
        <v>12</v>
      </c>
    </row>
    <row r="5" spans="1:7" ht="23.25" customHeight="1">
      <c r="A5" s="1336"/>
      <c r="B5" s="1336"/>
      <c r="C5" s="1329"/>
      <c r="D5" s="25" t="s">
        <v>97</v>
      </c>
      <c r="E5" s="25" t="s">
        <v>98</v>
      </c>
      <c r="F5" s="1281"/>
      <c r="G5" s="199" t="s">
        <v>151</v>
      </c>
    </row>
    <row r="6" spans="1:13" ht="32.25" customHeight="1">
      <c r="A6" s="101" t="s">
        <v>246</v>
      </c>
      <c r="B6" s="323" t="s">
        <v>708</v>
      </c>
      <c r="C6" s="147" t="s">
        <v>99</v>
      </c>
      <c r="D6" s="148">
        <f>+'2.1. sz. PMH'!D42</f>
        <v>552296134</v>
      </c>
      <c r="E6" s="148">
        <f>+'2.1. sz. PMH'!D43</f>
        <v>9853100</v>
      </c>
      <c r="F6" s="151" t="s">
        <v>280</v>
      </c>
      <c r="G6" s="200">
        <f>D6+E6</f>
        <v>562149234</v>
      </c>
      <c r="I6" s="426">
        <v>550468645</v>
      </c>
      <c r="J6" s="11">
        <v>9866400</v>
      </c>
      <c r="K6" s="29">
        <f>+D6-I6</f>
        <v>1827489</v>
      </c>
      <c r="L6" s="29">
        <f>+E6-J6</f>
        <v>-13300</v>
      </c>
      <c r="M6" s="952">
        <f>SUM(K6:L6)</f>
        <v>1814189</v>
      </c>
    </row>
    <row r="7" spans="1:13" ht="32.25" customHeight="1">
      <c r="A7" s="104" t="s">
        <v>247</v>
      </c>
      <c r="B7" s="324" t="s">
        <v>708</v>
      </c>
      <c r="C7" s="145" t="s">
        <v>24</v>
      </c>
      <c r="D7" s="149">
        <f>+'2.4. sz. Bölcsőde'!D42</f>
        <v>261257051</v>
      </c>
      <c r="E7" s="149">
        <f>+'2.4. sz. Bölcsőde'!D43</f>
        <v>2020779</v>
      </c>
      <c r="F7" s="152" t="s">
        <v>280</v>
      </c>
      <c r="G7" s="200">
        <f aca="true" t="shared" si="0" ref="G7:G14">D7+E7</f>
        <v>263277830</v>
      </c>
      <c r="I7" s="426">
        <v>261191032</v>
      </c>
      <c r="J7" s="11">
        <v>1905000</v>
      </c>
      <c r="K7" s="29">
        <f aca="true" t="shared" si="1" ref="K7:K14">+D7-I7</f>
        <v>66019</v>
      </c>
      <c r="L7" s="29">
        <f aca="true" t="shared" si="2" ref="L7:L14">+E7-J7</f>
        <v>115779</v>
      </c>
      <c r="M7" s="952">
        <f aca="true" t="shared" si="3" ref="M7:M14">SUM(K7:L7)</f>
        <v>181798</v>
      </c>
    </row>
    <row r="8" spans="1:13" ht="32.25" customHeight="1">
      <c r="A8" s="104" t="s">
        <v>248</v>
      </c>
      <c r="B8" s="324" t="s">
        <v>708</v>
      </c>
      <c r="C8" s="145" t="s">
        <v>100</v>
      </c>
      <c r="D8" s="149">
        <f>+'2.3. sz. Mese Óvoda'!D42</f>
        <v>377581501</v>
      </c>
      <c r="E8" s="149">
        <f>+'2.3. sz. Mese Óvoda'!D43</f>
        <v>1200000</v>
      </c>
      <c r="F8" s="152" t="s">
        <v>280</v>
      </c>
      <c r="G8" s="200">
        <f t="shared" si="0"/>
        <v>378781501</v>
      </c>
      <c r="I8" s="426">
        <v>376932032</v>
      </c>
      <c r="J8" s="11">
        <v>1200000</v>
      </c>
      <c r="K8" s="29">
        <f t="shared" si="1"/>
        <v>649469</v>
      </c>
      <c r="L8" s="29">
        <f t="shared" si="2"/>
        <v>0</v>
      </c>
      <c r="M8" s="952">
        <f t="shared" si="3"/>
        <v>649469</v>
      </c>
    </row>
    <row r="9" spans="1:13" ht="32.25" customHeight="1">
      <c r="A9" s="104" t="s">
        <v>249</v>
      </c>
      <c r="B9" s="324" t="s">
        <v>708</v>
      </c>
      <c r="C9" s="145" t="s">
        <v>25</v>
      </c>
      <c r="D9" s="149">
        <f>+'2.2. sz. Hétszínvirág Óvoda'!D42</f>
        <v>249800012</v>
      </c>
      <c r="E9" s="149">
        <f>+'2.2. sz. Hétszínvirág Óvoda'!D43</f>
        <v>500000</v>
      </c>
      <c r="F9" s="152" t="s">
        <v>280</v>
      </c>
      <c r="G9" s="200">
        <f t="shared" si="0"/>
        <v>250300012</v>
      </c>
      <c r="I9" s="426">
        <v>249214235</v>
      </c>
      <c r="J9" s="11">
        <v>500000</v>
      </c>
      <c r="K9" s="29">
        <f t="shared" si="1"/>
        <v>585777</v>
      </c>
      <c r="L9" s="29">
        <f t="shared" si="2"/>
        <v>0</v>
      </c>
      <c r="M9" s="952">
        <f t="shared" si="3"/>
        <v>585777</v>
      </c>
    </row>
    <row r="10" spans="1:13" ht="32.25" customHeight="1">
      <c r="A10" s="104" t="s">
        <v>250</v>
      </c>
      <c r="B10" s="324" t="s">
        <v>708</v>
      </c>
      <c r="C10" s="145" t="s">
        <v>799</v>
      </c>
      <c r="D10" s="149">
        <f>+'2.9. sz. Szivárvány Ó.'!I42</f>
        <v>212523566</v>
      </c>
      <c r="E10" s="149">
        <f>+'2.9. sz. Szivárvány Ó.'!I43</f>
        <v>1524000</v>
      </c>
      <c r="F10" s="152" t="s">
        <v>280</v>
      </c>
      <c r="G10" s="200">
        <f t="shared" si="0"/>
        <v>214047566</v>
      </c>
      <c r="I10" s="426">
        <v>212517839</v>
      </c>
      <c r="J10" s="11">
        <v>1524000</v>
      </c>
      <c r="K10" s="29">
        <f t="shared" si="1"/>
        <v>5727</v>
      </c>
      <c r="L10" s="29">
        <f t="shared" si="2"/>
        <v>0</v>
      </c>
      <c r="M10" s="952">
        <f t="shared" si="3"/>
        <v>5727</v>
      </c>
    </row>
    <row r="11" spans="1:14" ht="32.25" customHeight="1">
      <c r="A11" s="104" t="s">
        <v>251</v>
      </c>
      <c r="B11" s="324" t="s">
        <v>708</v>
      </c>
      <c r="C11" s="145" t="s">
        <v>26</v>
      </c>
      <c r="D11" s="149">
        <f>+'2.6 sz. Területi'!W42</f>
        <v>468561545</v>
      </c>
      <c r="E11" s="149">
        <f>+'2.6 sz. Területi'!W43</f>
        <v>45495400</v>
      </c>
      <c r="F11" s="152" t="s">
        <v>280</v>
      </c>
      <c r="G11" s="200">
        <f t="shared" si="0"/>
        <v>514056945</v>
      </c>
      <c r="I11" s="426">
        <v>451635638</v>
      </c>
      <c r="J11" s="11">
        <v>44995400</v>
      </c>
      <c r="K11" s="29">
        <f t="shared" si="1"/>
        <v>16925907</v>
      </c>
      <c r="L11" s="29">
        <f t="shared" si="2"/>
        <v>500000</v>
      </c>
      <c r="M11" s="952">
        <f t="shared" si="3"/>
        <v>17425907</v>
      </c>
      <c r="N11" s="952">
        <f>+M11-5611106-500000</f>
        <v>11314801</v>
      </c>
    </row>
    <row r="12" spans="1:13" ht="32.25" customHeight="1">
      <c r="A12" s="104" t="s">
        <v>252</v>
      </c>
      <c r="B12" s="324" t="s">
        <v>708</v>
      </c>
      <c r="C12" s="145" t="s">
        <v>831</v>
      </c>
      <c r="D12" s="149">
        <f>+'2.7. sz. Könyvtár'!D42</f>
        <v>43924005</v>
      </c>
      <c r="E12" s="149">
        <f>+'2.7. sz. Könyvtár'!D43</f>
        <v>717500</v>
      </c>
      <c r="F12" s="152" t="s">
        <v>280</v>
      </c>
      <c r="G12" s="200">
        <f t="shared" si="0"/>
        <v>44641505</v>
      </c>
      <c r="I12" s="426">
        <v>43832055</v>
      </c>
      <c r="J12" s="11">
        <v>717500</v>
      </c>
      <c r="K12" s="29">
        <f t="shared" si="1"/>
        <v>91950</v>
      </c>
      <c r="L12" s="29">
        <f t="shared" si="2"/>
        <v>0</v>
      </c>
      <c r="M12" s="952">
        <f t="shared" si="3"/>
        <v>91950</v>
      </c>
    </row>
    <row r="13" spans="1:13" ht="32.25" customHeight="1">
      <c r="A13" s="104" t="s">
        <v>253</v>
      </c>
      <c r="B13" s="324" t="s">
        <v>708</v>
      </c>
      <c r="C13" s="145" t="s">
        <v>800</v>
      </c>
      <c r="D13" s="330">
        <f>+'2.8. sz. Műv.Ház'!J42</f>
        <v>79348655</v>
      </c>
      <c r="E13" s="330">
        <f>+'2.8. sz. Műv.Ház'!J43</f>
        <v>1127000</v>
      </c>
      <c r="F13" s="152" t="s">
        <v>280</v>
      </c>
      <c r="G13" s="200">
        <f t="shared" si="0"/>
        <v>80475655</v>
      </c>
      <c r="I13" s="426">
        <v>76579711</v>
      </c>
      <c r="J13" s="11">
        <v>1127000</v>
      </c>
      <c r="K13" s="29">
        <f t="shared" si="1"/>
        <v>2768944</v>
      </c>
      <c r="L13" s="29">
        <f t="shared" si="2"/>
        <v>0</v>
      </c>
      <c r="M13" s="952">
        <f t="shared" si="3"/>
        <v>2768944</v>
      </c>
    </row>
    <row r="14" spans="1:13" ht="32.25" customHeight="1">
      <c r="A14" s="104" t="s">
        <v>254</v>
      </c>
      <c r="B14" s="325" t="s">
        <v>708</v>
      </c>
      <c r="C14" s="146" t="s">
        <v>101</v>
      </c>
      <c r="D14" s="150">
        <f>+'2.5. sz. Gyermekjóléti'!D42</f>
        <v>71529608</v>
      </c>
      <c r="E14" s="150">
        <f>+'2.5. sz. Gyermekjóléti'!D43</f>
        <v>927000</v>
      </c>
      <c r="F14" s="20" t="s">
        <v>280</v>
      </c>
      <c r="G14" s="200">
        <f t="shared" si="0"/>
        <v>72456608</v>
      </c>
      <c r="I14" s="426">
        <v>71477558</v>
      </c>
      <c r="J14" s="11">
        <v>927000</v>
      </c>
      <c r="K14" s="29">
        <f t="shared" si="1"/>
        <v>52050</v>
      </c>
      <c r="L14" s="29">
        <f t="shared" si="2"/>
        <v>0</v>
      </c>
      <c r="M14" s="952">
        <f t="shared" si="3"/>
        <v>52050</v>
      </c>
    </row>
    <row r="15" spans="1:13" s="17" customFormat="1" ht="32.25" customHeight="1">
      <c r="A15" s="1339" t="s">
        <v>102</v>
      </c>
      <c r="B15" s="1340"/>
      <c r="C15" s="1341"/>
      <c r="D15" s="153">
        <f>SUM(D6:D14)</f>
        <v>2316822077</v>
      </c>
      <c r="E15" s="153">
        <f>SUM(E6:E14)</f>
        <v>63364779</v>
      </c>
      <c r="F15" s="154"/>
      <c r="G15" s="201">
        <f>D15+E15</f>
        <v>2380186856</v>
      </c>
      <c r="I15" s="425">
        <f>SUM(I6:I14)</f>
        <v>2293848745</v>
      </c>
      <c r="J15" s="425">
        <f>SUM(J6:J14)</f>
        <v>62762300</v>
      </c>
      <c r="K15" s="425">
        <f>SUM(K6:K14)</f>
        <v>22973332</v>
      </c>
      <c r="L15" s="425">
        <f>SUM(L6:L14)</f>
        <v>602479</v>
      </c>
      <c r="M15" s="425">
        <f>SUM(M6:M14)</f>
        <v>23575811</v>
      </c>
    </row>
    <row r="16" ht="12.75">
      <c r="G16" s="29"/>
    </row>
    <row r="18" ht="12.75">
      <c r="E18" s="29">
        <f>+D15+E15</f>
        <v>2380186856</v>
      </c>
    </row>
    <row r="19" ht="12.75">
      <c r="D19" s="11">
        <v>1726077</v>
      </c>
    </row>
    <row r="20" spans="4:5" ht="12.75">
      <c r="D20" s="29"/>
      <c r="E20" s="11">
        <f>+'[2]Munka1'!$D$94</f>
        <v>2351625349</v>
      </c>
    </row>
    <row r="21" ht="12.75">
      <c r="E21" s="29">
        <f>+E18-E20</f>
        <v>28561507</v>
      </c>
    </row>
  </sheetData>
  <sheetProtection/>
  <mergeCells count="8">
    <mergeCell ref="A15:C15"/>
    <mergeCell ref="A1:F1"/>
    <mergeCell ref="A2:F2"/>
    <mergeCell ref="D4:E4"/>
    <mergeCell ref="F4:F5"/>
    <mergeCell ref="A4:A5"/>
    <mergeCell ref="B4:B5"/>
    <mergeCell ref="C4:C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headerFooter>
    <oddHeader>&amp;C2019. évi költségvetés&amp;R&amp;A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0"/>
  <sheetViews>
    <sheetView view="pageBreakPreview" zoomScale="82" zoomScaleSheetLayoutView="8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5" sqref="L5:L6"/>
    </sheetView>
  </sheetViews>
  <sheetFormatPr defaultColWidth="9.00390625" defaultRowHeight="12.75"/>
  <cols>
    <col min="1" max="1" width="5.875" style="41" customWidth="1"/>
    <col min="2" max="2" width="64.875" style="41" customWidth="1"/>
    <col min="3" max="3" width="7.125" style="249" customWidth="1"/>
    <col min="4" max="4" width="16.625" style="42" customWidth="1"/>
    <col min="5" max="5" width="21.00390625" style="42" customWidth="1"/>
    <col min="6" max="6" width="15.875" style="42" bestFit="1" customWidth="1"/>
    <col min="7" max="7" width="15.875" style="42" customWidth="1"/>
    <col min="8" max="8" width="14.625" style="42" customWidth="1"/>
    <col min="9" max="9" width="18.375" style="42" customWidth="1"/>
    <col min="10" max="10" width="19.75390625" style="42" customWidth="1"/>
    <col min="11" max="11" width="18.25390625" style="42" customWidth="1"/>
    <col min="12" max="12" width="20.875" style="42" customWidth="1"/>
    <col min="13" max="13" width="18.125" style="42" customWidth="1"/>
    <col min="14" max="14" width="17.375" style="41" customWidth="1"/>
    <col min="15" max="15" width="18.625" style="41" customWidth="1"/>
    <col min="16" max="16" width="10.625" style="41" bestFit="1" customWidth="1"/>
    <col min="17" max="16384" width="9.125" style="41" customWidth="1"/>
  </cols>
  <sheetData>
    <row r="1" spans="1:13" ht="15.75">
      <c r="A1" s="376"/>
      <c r="B1" s="376"/>
      <c r="C1" s="377"/>
      <c r="D1" s="378"/>
      <c r="E1" s="378"/>
      <c r="F1" s="378"/>
      <c r="G1" s="379" t="s">
        <v>541</v>
      </c>
      <c r="H1" s="378"/>
      <c r="I1" s="378"/>
      <c r="J1" s="378"/>
      <c r="K1" s="379" t="s">
        <v>541</v>
      </c>
      <c r="L1" s="378"/>
      <c r="M1" s="379" t="s">
        <v>541</v>
      </c>
    </row>
    <row r="2" spans="1:13" ht="34.5" customHeight="1">
      <c r="A2" s="1204" t="s">
        <v>176</v>
      </c>
      <c r="B2" s="1204"/>
      <c r="C2" s="1204"/>
      <c r="D2" s="1209" t="s">
        <v>917</v>
      </c>
      <c r="E2" s="1210"/>
      <c r="F2" s="1210"/>
      <c r="G2" s="1210"/>
      <c r="H2" s="1209" t="s">
        <v>917</v>
      </c>
      <c r="I2" s="1210"/>
      <c r="J2" s="1210"/>
      <c r="K2" s="1213"/>
      <c r="L2" s="1210" t="s">
        <v>917</v>
      </c>
      <c r="M2" s="1213"/>
    </row>
    <row r="3" spans="1:13" s="44" customFormat="1" ht="123" customHeight="1">
      <c r="A3" s="1203" t="s">
        <v>244</v>
      </c>
      <c r="B3" s="1204" t="s">
        <v>302</v>
      </c>
      <c r="C3" s="1204"/>
      <c r="D3" s="380" t="s">
        <v>613</v>
      </c>
      <c r="E3" s="381" t="s">
        <v>409</v>
      </c>
      <c r="F3" s="381" t="s">
        <v>410</v>
      </c>
      <c r="G3" s="381" t="s">
        <v>177</v>
      </c>
      <c r="H3" s="381" t="s">
        <v>236</v>
      </c>
      <c r="I3" s="381" t="s">
        <v>852</v>
      </c>
      <c r="J3" s="381" t="s">
        <v>852</v>
      </c>
      <c r="K3" s="381" t="s">
        <v>409</v>
      </c>
      <c r="L3" s="381" t="s">
        <v>409</v>
      </c>
      <c r="M3" s="1205" t="s">
        <v>178</v>
      </c>
    </row>
    <row r="4" spans="1:13" s="44" customFormat="1" ht="30.75" customHeight="1">
      <c r="A4" s="1203"/>
      <c r="B4" s="1204" t="s">
        <v>12</v>
      </c>
      <c r="C4" s="1204"/>
      <c r="D4" s="380" t="s">
        <v>280</v>
      </c>
      <c r="E4" s="381" t="s">
        <v>280</v>
      </c>
      <c r="F4" s="381" t="s">
        <v>282</v>
      </c>
      <c r="G4" s="381" t="s">
        <v>282</v>
      </c>
      <c r="H4" s="381" t="s">
        <v>282</v>
      </c>
      <c r="I4" s="381" t="s">
        <v>282</v>
      </c>
      <c r="J4" s="381" t="s">
        <v>282</v>
      </c>
      <c r="K4" s="381" t="s">
        <v>280</v>
      </c>
      <c r="L4" s="381" t="s">
        <v>280</v>
      </c>
      <c r="M4" s="1205"/>
    </row>
    <row r="5" spans="1:13" s="44" customFormat="1" ht="15.75" customHeight="1">
      <c r="A5" s="1203"/>
      <c r="B5" s="1188" t="s">
        <v>1308</v>
      </c>
      <c r="C5" s="1188"/>
      <c r="D5" s="1206" t="s">
        <v>494</v>
      </c>
      <c r="E5" s="1206" t="s">
        <v>495</v>
      </c>
      <c r="F5" s="1206" t="s">
        <v>496</v>
      </c>
      <c r="G5" s="1206" t="s">
        <v>497</v>
      </c>
      <c r="H5" s="1206" t="s">
        <v>498</v>
      </c>
      <c r="I5" s="1211" t="s">
        <v>1492</v>
      </c>
      <c r="J5" s="1207" t="s">
        <v>1493</v>
      </c>
      <c r="K5" s="1207" t="s">
        <v>1494</v>
      </c>
      <c r="L5" s="1207" t="s">
        <v>617</v>
      </c>
      <c r="M5" s="1205"/>
    </row>
    <row r="6" spans="1:14" ht="62.25" customHeight="1">
      <c r="A6" s="1203"/>
      <c r="B6" s="45" t="s">
        <v>245</v>
      </c>
      <c r="C6" s="248" t="s">
        <v>303</v>
      </c>
      <c r="D6" s="1206"/>
      <c r="E6" s="1206"/>
      <c r="F6" s="1206"/>
      <c r="G6" s="1206"/>
      <c r="H6" s="1206"/>
      <c r="I6" s="1212"/>
      <c r="J6" s="1208"/>
      <c r="K6" s="1208"/>
      <c r="L6" s="1208"/>
      <c r="M6" s="1205"/>
      <c r="N6" s="210"/>
    </row>
    <row r="7" spans="1:13" ht="15.75">
      <c r="A7" s="47" t="s">
        <v>246</v>
      </c>
      <c r="B7" s="48" t="s">
        <v>247</v>
      </c>
      <c r="C7" s="48" t="s">
        <v>248</v>
      </c>
      <c r="D7" s="383" t="s">
        <v>249</v>
      </c>
      <c r="E7" s="383" t="s">
        <v>250</v>
      </c>
      <c r="F7" s="383" t="s">
        <v>251</v>
      </c>
      <c r="G7" s="383" t="s">
        <v>252</v>
      </c>
      <c r="H7" s="383" t="s">
        <v>253</v>
      </c>
      <c r="I7" s="383" t="s">
        <v>254</v>
      </c>
      <c r="J7" s="383" t="s">
        <v>255</v>
      </c>
      <c r="K7" s="383" t="s">
        <v>256</v>
      </c>
      <c r="L7" s="383" t="s">
        <v>283</v>
      </c>
      <c r="M7" s="383" t="s">
        <v>284</v>
      </c>
    </row>
    <row r="8" spans="1:15" ht="21.75" customHeight="1">
      <c r="A8" s="49" t="s">
        <v>246</v>
      </c>
      <c r="B8" s="46" t="s">
        <v>405</v>
      </c>
      <c r="C8" s="250" t="s">
        <v>257</v>
      </c>
      <c r="D8" s="384"/>
      <c r="E8" s="384">
        <f>303415899+3000000+7*150000</f>
        <v>307465899</v>
      </c>
      <c r="F8" s="384">
        <v>42031580</v>
      </c>
      <c r="G8" s="384">
        <v>11798000</v>
      </c>
      <c r="H8" s="384"/>
      <c r="I8" s="384"/>
      <c r="J8" s="384"/>
      <c r="K8" s="384"/>
      <c r="L8" s="384"/>
      <c r="M8" s="384">
        <f aca="true" t="shared" si="0" ref="M8:M14">SUM(D8:L8)</f>
        <v>361295479</v>
      </c>
      <c r="N8" s="165">
        <v>302992000</v>
      </c>
      <c r="O8" s="165">
        <f>+N8-M8</f>
        <v>-58303479</v>
      </c>
    </row>
    <row r="9" spans="1:15" ht="21.75" customHeight="1">
      <c r="A9" s="49" t="s">
        <v>247</v>
      </c>
      <c r="B9" s="51" t="s">
        <v>258</v>
      </c>
      <c r="C9" s="250" t="s">
        <v>259</v>
      </c>
      <c r="D9" s="384"/>
      <c r="E9" s="384">
        <f>61831809+2900000+200000+600000+650000+1580000+205000</f>
        <v>67966809</v>
      </c>
      <c r="F9" s="384">
        <v>8807355</v>
      </c>
      <c r="G9" s="384">
        <v>2344476</v>
      </c>
      <c r="H9" s="384"/>
      <c r="I9" s="384"/>
      <c r="J9" s="384"/>
      <c r="K9" s="384"/>
      <c r="L9" s="384"/>
      <c r="M9" s="384">
        <f t="shared" si="0"/>
        <v>79118640</v>
      </c>
      <c r="N9" s="41">
        <v>69618000</v>
      </c>
      <c r="O9" s="165">
        <f>+N9-M9</f>
        <v>-9500640</v>
      </c>
    </row>
    <row r="10" spans="1:15" s="529" customFormat="1" ht="21.75" customHeight="1">
      <c r="A10" s="526" t="s">
        <v>248</v>
      </c>
      <c r="B10" s="527" t="s">
        <v>406</v>
      </c>
      <c r="C10" s="528" t="s">
        <v>260</v>
      </c>
      <c r="D10" s="386">
        <v>1561268</v>
      </c>
      <c r="E10" s="386">
        <f>87645690+3000000+543325</f>
        <v>91189015</v>
      </c>
      <c r="F10" s="386">
        <f>10349930+11898</f>
        <v>10361828</v>
      </c>
      <c r="G10" s="386">
        <f>4480406+3966</f>
        <v>4484372</v>
      </c>
      <c r="H10" s="386"/>
      <c r="I10" s="386">
        <v>1000000</v>
      </c>
      <c r="J10" s="386">
        <v>1000000</v>
      </c>
      <c r="K10" s="386">
        <v>4793500</v>
      </c>
      <c r="L10" s="386"/>
      <c r="M10" s="386">
        <f t="shared" si="0"/>
        <v>114389983</v>
      </c>
      <c r="N10" s="529">
        <v>111762385</v>
      </c>
      <c r="O10" s="530">
        <f>+N10-M10</f>
        <v>-2627598</v>
      </c>
    </row>
    <row r="11" spans="1:15" ht="21.75" customHeight="1">
      <c r="A11" s="49" t="s">
        <v>249</v>
      </c>
      <c r="B11" s="52" t="s">
        <v>407</v>
      </c>
      <c r="C11" s="250" t="s">
        <v>261</v>
      </c>
      <c r="D11" s="384"/>
      <c r="E11" s="384"/>
      <c r="F11" s="384"/>
      <c r="G11" s="384"/>
      <c r="H11" s="384"/>
      <c r="I11" s="384"/>
      <c r="J11" s="384"/>
      <c r="K11" s="384"/>
      <c r="L11" s="384"/>
      <c r="M11" s="384">
        <f t="shared" si="0"/>
        <v>0</v>
      </c>
      <c r="O11" s="165">
        <f>SUM(J8:J10)</f>
        <v>1000000</v>
      </c>
    </row>
    <row r="12" spans="1:13" ht="21.75" customHeight="1">
      <c r="A12" s="49" t="s">
        <v>250</v>
      </c>
      <c r="B12" s="52" t="s">
        <v>292</v>
      </c>
      <c r="C12" s="250" t="s">
        <v>262</v>
      </c>
      <c r="D12" s="384">
        <f>SUM(D13:D15)</f>
        <v>0</v>
      </c>
      <c r="E12" s="384">
        <f aca="true" t="shared" si="1" ref="E12:L12">SUM(E13:E15)</f>
        <v>0</v>
      </c>
      <c r="F12" s="384">
        <f t="shared" si="1"/>
        <v>0</v>
      </c>
      <c r="G12" s="384">
        <f t="shared" si="1"/>
        <v>0</v>
      </c>
      <c r="H12" s="384">
        <f t="shared" si="1"/>
        <v>0</v>
      </c>
      <c r="I12" s="384">
        <f t="shared" si="1"/>
        <v>0</v>
      </c>
      <c r="J12" s="384">
        <f t="shared" si="1"/>
        <v>0</v>
      </c>
      <c r="K12" s="384">
        <f t="shared" si="1"/>
        <v>0</v>
      </c>
      <c r="L12" s="384">
        <f t="shared" si="1"/>
        <v>0</v>
      </c>
      <c r="M12" s="384">
        <f t="shared" si="0"/>
        <v>0</v>
      </c>
    </row>
    <row r="13" spans="1:13" ht="21.75" customHeight="1">
      <c r="A13" s="49" t="s">
        <v>251</v>
      </c>
      <c r="B13" s="53" t="s">
        <v>765</v>
      </c>
      <c r="C13" s="250"/>
      <c r="D13" s="384"/>
      <c r="E13" s="384"/>
      <c r="F13" s="384"/>
      <c r="G13" s="384"/>
      <c r="H13" s="384"/>
      <c r="I13" s="384"/>
      <c r="J13" s="384"/>
      <c r="K13" s="384"/>
      <c r="L13" s="384"/>
      <c r="M13" s="384">
        <f t="shared" si="0"/>
        <v>0</v>
      </c>
    </row>
    <row r="14" spans="1:13" ht="21.75" customHeight="1">
      <c r="A14" s="49" t="s">
        <v>252</v>
      </c>
      <c r="B14" s="53" t="s">
        <v>767</v>
      </c>
      <c r="C14" s="251"/>
      <c r="D14" s="384"/>
      <c r="E14" s="384"/>
      <c r="F14" s="384"/>
      <c r="G14" s="384"/>
      <c r="H14" s="384"/>
      <c r="I14" s="384"/>
      <c r="J14" s="384"/>
      <c r="K14" s="384"/>
      <c r="L14" s="384"/>
      <c r="M14" s="384">
        <f t="shared" si="0"/>
        <v>0</v>
      </c>
    </row>
    <row r="15" spans="1:13" ht="21.75" customHeight="1">
      <c r="A15" s="49" t="s">
        <v>253</v>
      </c>
      <c r="B15" s="175" t="s">
        <v>766</v>
      </c>
      <c r="C15" s="251"/>
      <c r="D15" s="384"/>
      <c r="E15" s="384"/>
      <c r="F15" s="384"/>
      <c r="G15" s="384"/>
      <c r="H15" s="384"/>
      <c r="I15" s="384"/>
      <c r="J15" s="384"/>
      <c r="K15" s="384"/>
      <c r="L15" s="384"/>
      <c r="M15" s="384"/>
    </row>
    <row r="16" spans="1:13" ht="21.75" customHeight="1">
      <c r="A16" s="49" t="s">
        <v>254</v>
      </c>
      <c r="B16" s="55" t="s">
        <v>299</v>
      </c>
      <c r="C16" s="250" t="s">
        <v>263</v>
      </c>
      <c r="D16" s="384"/>
      <c r="E16" s="384">
        <f>7825994+683006</f>
        <v>8509000</v>
      </c>
      <c r="F16" s="384">
        <v>444500</v>
      </c>
      <c r="G16" s="384">
        <v>127000</v>
      </c>
      <c r="H16" s="384"/>
      <c r="I16" s="384"/>
      <c r="J16" s="384"/>
      <c r="K16" s="384">
        <v>317500</v>
      </c>
      <c r="L16" s="384"/>
      <c r="M16" s="384">
        <f aca="true" t="shared" si="2" ref="M16:M38">SUM(D16:L16)</f>
        <v>9398000</v>
      </c>
    </row>
    <row r="17" spans="1:13" ht="21.75" customHeight="1">
      <c r="A17" s="49" t="s">
        <v>255</v>
      </c>
      <c r="B17" s="52" t="s">
        <v>408</v>
      </c>
      <c r="C17" s="250" t="s">
        <v>264</v>
      </c>
      <c r="D17" s="384"/>
      <c r="E17" s="384"/>
      <c r="F17" s="384"/>
      <c r="G17" s="384"/>
      <c r="H17" s="384"/>
      <c r="I17" s="384"/>
      <c r="J17" s="384"/>
      <c r="K17" s="384"/>
      <c r="L17" s="384"/>
      <c r="M17" s="384">
        <f t="shared" si="2"/>
        <v>0</v>
      </c>
    </row>
    <row r="18" spans="1:16" ht="21.75" customHeight="1">
      <c r="A18" s="49" t="s">
        <v>256</v>
      </c>
      <c r="B18" s="52" t="s">
        <v>293</v>
      </c>
      <c r="C18" s="250" t="s">
        <v>265</v>
      </c>
      <c r="D18" s="384">
        <f>D19</f>
        <v>0</v>
      </c>
      <c r="E18" s="384">
        <f>E19</f>
        <v>5000000</v>
      </c>
      <c r="F18" s="384"/>
      <c r="G18" s="384"/>
      <c r="H18" s="384"/>
      <c r="I18" s="384"/>
      <c r="J18" s="384"/>
      <c r="K18" s="384"/>
      <c r="L18" s="384"/>
      <c r="M18" s="384">
        <f t="shared" si="2"/>
        <v>5000000</v>
      </c>
      <c r="P18" s="41">
        <f>302992000+69618000+111762385+11747500+7500000</f>
        <v>503619885</v>
      </c>
    </row>
    <row r="19" spans="1:16" ht="21.75" customHeight="1">
      <c r="A19" s="49" t="s">
        <v>283</v>
      </c>
      <c r="B19" s="53" t="s">
        <v>768</v>
      </c>
      <c r="C19" s="250"/>
      <c r="D19" s="384"/>
      <c r="E19" s="384">
        <f>+'4.sz.Felhalm.c.pe.átadás'!J14</f>
        <v>5000000</v>
      </c>
      <c r="F19" s="384"/>
      <c r="G19" s="384"/>
      <c r="H19" s="384"/>
      <c r="I19" s="384"/>
      <c r="J19" s="384"/>
      <c r="K19" s="384"/>
      <c r="L19" s="384"/>
      <c r="M19" s="384">
        <f t="shared" si="2"/>
        <v>5000000</v>
      </c>
      <c r="P19" s="41">
        <v>9500000</v>
      </c>
    </row>
    <row r="20" spans="1:16" s="60" customFormat="1" ht="21.75" customHeight="1">
      <c r="A20" s="49" t="s">
        <v>284</v>
      </c>
      <c r="B20" s="55" t="s">
        <v>294</v>
      </c>
      <c r="C20" s="250" t="s">
        <v>266</v>
      </c>
      <c r="D20" s="385">
        <f aca="true" t="shared" si="3" ref="D20:L20">+D8+D9+D10+D11+D12+D16+D17+D18</f>
        <v>1561268</v>
      </c>
      <c r="E20" s="385">
        <f t="shared" si="3"/>
        <v>480130723</v>
      </c>
      <c r="F20" s="385">
        <f t="shared" si="3"/>
        <v>61645263</v>
      </c>
      <c r="G20" s="385">
        <f t="shared" si="3"/>
        <v>18753848</v>
      </c>
      <c r="H20" s="385">
        <f t="shared" si="3"/>
        <v>0</v>
      </c>
      <c r="I20" s="385">
        <f>+I8+I9+I10+I11+I12+I16+I17+I18</f>
        <v>1000000</v>
      </c>
      <c r="J20" s="385">
        <f>+J8+J9+J10+J11+J12+J16+J17+J18</f>
        <v>1000000</v>
      </c>
      <c r="K20" s="385">
        <f t="shared" si="3"/>
        <v>5111000</v>
      </c>
      <c r="L20" s="385">
        <f t="shared" si="3"/>
        <v>0</v>
      </c>
      <c r="M20" s="385">
        <f t="shared" si="2"/>
        <v>569202102</v>
      </c>
      <c r="N20" s="167">
        <f>M18+M17+M16+M12+M11+M10+M9+M8</f>
        <v>569202102</v>
      </c>
      <c r="P20" s="60">
        <f>+P18+P19</f>
        <v>513119885</v>
      </c>
    </row>
    <row r="21" spans="1:13" ht="21.75" customHeight="1">
      <c r="A21" s="49" t="s">
        <v>285</v>
      </c>
      <c r="B21" s="55" t="s">
        <v>279</v>
      </c>
      <c r="C21" s="250" t="s">
        <v>275</v>
      </c>
      <c r="D21" s="384">
        <f aca="true" t="shared" si="4" ref="D21:K21">SUM(D22:D25)</f>
        <v>0</v>
      </c>
      <c r="E21" s="384">
        <f t="shared" si="4"/>
        <v>0</v>
      </c>
      <c r="F21" s="384">
        <f t="shared" si="4"/>
        <v>0</v>
      </c>
      <c r="G21" s="384">
        <f t="shared" si="4"/>
        <v>0</v>
      </c>
      <c r="H21" s="384">
        <f t="shared" si="4"/>
        <v>0</v>
      </c>
      <c r="I21" s="384">
        <f>SUM(I22:I25)</f>
        <v>0</v>
      </c>
      <c r="J21" s="384">
        <f>SUM(J22:J25)</f>
        <v>0</v>
      </c>
      <c r="K21" s="384">
        <f t="shared" si="4"/>
        <v>0</v>
      </c>
      <c r="L21" s="384">
        <f>SUM(L22:L25)</f>
        <v>0</v>
      </c>
      <c r="M21" s="384">
        <f t="shared" si="2"/>
        <v>0</v>
      </c>
    </row>
    <row r="22" spans="1:13" ht="21.75" customHeight="1">
      <c r="A22" s="49" t="s">
        <v>286</v>
      </c>
      <c r="B22" s="177" t="s">
        <v>232</v>
      </c>
      <c r="C22" s="251"/>
      <c r="D22" s="384"/>
      <c r="E22" s="384"/>
      <c r="F22" s="384"/>
      <c r="G22" s="384"/>
      <c r="H22" s="384"/>
      <c r="I22" s="384"/>
      <c r="J22" s="384"/>
      <c r="K22" s="384"/>
      <c r="L22" s="384"/>
      <c r="M22" s="384">
        <f t="shared" si="2"/>
        <v>0</v>
      </c>
    </row>
    <row r="23" spans="1:13" ht="21.75" customHeight="1">
      <c r="A23" s="49" t="s">
        <v>287</v>
      </c>
      <c r="B23" s="56" t="s">
        <v>741</v>
      </c>
      <c r="C23" s="251"/>
      <c r="D23" s="384"/>
      <c r="E23" s="384"/>
      <c r="F23" s="384"/>
      <c r="G23" s="384"/>
      <c r="H23" s="384"/>
      <c r="I23" s="384"/>
      <c r="J23" s="384"/>
      <c r="K23" s="384"/>
      <c r="L23" s="384"/>
      <c r="M23" s="384">
        <f t="shared" si="2"/>
        <v>0</v>
      </c>
    </row>
    <row r="24" spans="1:13" ht="21.75" customHeight="1">
      <c r="A24" s="49" t="s">
        <v>288</v>
      </c>
      <c r="B24" s="56" t="s">
        <v>742</v>
      </c>
      <c r="C24" s="251"/>
      <c r="D24" s="384"/>
      <c r="E24" s="384"/>
      <c r="F24" s="384"/>
      <c r="G24" s="384"/>
      <c r="H24" s="384"/>
      <c r="I24" s="384"/>
      <c r="J24" s="384"/>
      <c r="K24" s="384"/>
      <c r="L24" s="384"/>
      <c r="M24" s="384">
        <f t="shared" si="2"/>
        <v>0</v>
      </c>
    </row>
    <row r="25" spans="1:13" ht="21.75" customHeight="1">
      <c r="A25" s="49" t="s">
        <v>289</v>
      </c>
      <c r="B25" s="56" t="s">
        <v>160</v>
      </c>
      <c r="C25" s="251"/>
      <c r="D25" s="384"/>
      <c r="E25" s="384"/>
      <c r="F25" s="384"/>
      <c r="G25" s="384"/>
      <c r="H25" s="384"/>
      <c r="I25" s="384"/>
      <c r="J25" s="384"/>
      <c r="K25" s="384"/>
      <c r="L25" s="384"/>
      <c r="M25" s="384">
        <f t="shared" si="2"/>
        <v>0</v>
      </c>
    </row>
    <row r="26" spans="1:13" ht="21.75" customHeight="1">
      <c r="A26" s="49" t="s">
        <v>290</v>
      </c>
      <c r="B26" s="510" t="s">
        <v>1408</v>
      </c>
      <c r="C26" s="251"/>
      <c r="D26" s="384"/>
      <c r="E26" s="384"/>
      <c r="F26" s="384"/>
      <c r="G26" s="384"/>
      <c r="H26" s="384"/>
      <c r="I26" s="384"/>
      <c r="J26" s="384"/>
      <c r="K26" s="384"/>
      <c r="L26" s="384"/>
      <c r="M26" s="384"/>
    </row>
    <row r="27" spans="1:13" s="58" customFormat="1" ht="21.75" customHeight="1">
      <c r="A27" s="49" t="s">
        <v>291</v>
      </c>
      <c r="B27" s="57" t="s">
        <v>33</v>
      </c>
      <c r="C27" s="250"/>
      <c r="D27" s="385">
        <f>+D8+D9+D10+D11+D12+D22+D23+D15</f>
        <v>1561268</v>
      </c>
      <c r="E27" s="385">
        <f aca="true" t="shared" si="5" ref="E27:L27">+E8+E9+E10+E11+E12+E22+E23+E15</f>
        <v>466621723</v>
      </c>
      <c r="F27" s="385">
        <f t="shared" si="5"/>
        <v>61200763</v>
      </c>
      <c r="G27" s="385">
        <f t="shared" si="5"/>
        <v>18626848</v>
      </c>
      <c r="H27" s="385">
        <f t="shared" si="5"/>
        <v>0</v>
      </c>
      <c r="I27" s="385">
        <f>+I8+I9+I10+I11+I12+I22+I23+I15</f>
        <v>1000000</v>
      </c>
      <c r="J27" s="385">
        <f t="shared" si="5"/>
        <v>1000000</v>
      </c>
      <c r="K27" s="385">
        <f>+K8+K9+K10+K11+K12+K22+K23+K15</f>
        <v>4793500</v>
      </c>
      <c r="L27" s="385">
        <f t="shared" si="5"/>
        <v>0</v>
      </c>
      <c r="M27" s="385">
        <f t="shared" si="2"/>
        <v>554804102</v>
      </c>
    </row>
    <row r="28" spans="1:14" s="58" customFormat="1" ht="21.75" customHeight="1">
      <c r="A28" s="49" t="s">
        <v>322</v>
      </c>
      <c r="B28" s="57" t="s">
        <v>34</v>
      </c>
      <c r="C28" s="250"/>
      <c r="D28" s="385">
        <f aca="true" t="shared" si="6" ref="D28:L28">+D16+D17+D18+D24+D25</f>
        <v>0</v>
      </c>
      <c r="E28" s="385">
        <f t="shared" si="6"/>
        <v>13509000</v>
      </c>
      <c r="F28" s="385">
        <f t="shared" si="6"/>
        <v>444500</v>
      </c>
      <c r="G28" s="385">
        <f t="shared" si="6"/>
        <v>127000</v>
      </c>
      <c r="H28" s="385">
        <f t="shared" si="6"/>
        <v>0</v>
      </c>
      <c r="I28" s="385">
        <f>+I16+I17+I18+I24+I25</f>
        <v>0</v>
      </c>
      <c r="J28" s="385">
        <f t="shared" si="6"/>
        <v>0</v>
      </c>
      <c r="K28" s="385">
        <f t="shared" si="6"/>
        <v>317500</v>
      </c>
      <c r="L28" s="385">
        <f t="shared" si="6"/>
        <v>0</v>
      </c>
      <c r="M28" s="385">
        <f t="shared" si="2"/>
        <v>14398000</v>
      </c>
      <c r="N28" s="427">
        <f>+M27+M28</f>
        <v>569202102</v>
      </c>
    </row>
    <row r="29" spans="1:13" s="58" customFormat="1" ht="21.75" customHeight="1">
      <c r="A29" s="49" t="s">
        <v>323</v>
      </c>
      <c r="B29" s="57" t="s">
        <v>398</v>
      </c>
      <c r="C29" s="250" t="s">
        <v>32</v>
      </c>
      <c r="D29" s="385">
        <f aca="true" t="shared" si="7" ref="D29:L29">SUM(D27:D28)</f>
        <v>1561268</v>
      </c>
      <c r="E29" s="385">
        <f t="shared" si="7"/>
        <v>480130723</v>
      </c>
      <c r="F29" s="385">
        <f t="shared" si="7"/>
        <v>61645263</v>
      </c>
      <c r="G29" s="385">
        <f t="shared" si="7"/>
        <v>18753848</v>
      </c>
      <c r="H29" s="385">
        <f t="shared" si="7"/>
        <v>0</v>
      </c>
      <c r="I29" s="385">
        <f>SUM(I27:I28)</f>
        <v>1000000</v>
      </c>
      <c r="J29" s="385">
        <f t="shared" si="7"/>
        <v>1000000</v>
      </c>
      <c r="K29" s="385">
        <f t="shared" si="7"/>
        <v>5111000</v>
      </c>
      <c r="L29" s="385">
        <f t="shared" si="7"/>
        <v>0</v>
      </c>
      <c r="M29" s="385">
        <f t="shared" si="2"/>
        <v>569202102</v>
      </c>
    </row>
    <row r="30" spans="1:13" ht="21.75" customHeight="1">
      <c r="A30" s="49" t="s">
        <v>324</v>
      </c>
      <c r="B30" s="51" t="s">
        <v>54</v>
      </c>
      <c r="C30" s="55" t="s">
        <v>267</v>
      </c>
      <c r="D30" s="384"/>
      <c r="E30" s="384"/>
      <c r="F30" s="384"/>
      <c r="G30" s="384"/>
      <c r="H30" s="384"/>
      <c r="I30" s="384"/>
      <c r="J30" s="384"/>
      <c r="K30" s="384"/>
      <c r="L30" s="384"/>
      <c r="M30" s="384">
        <f t="shared" si="2"/>
        <v>0</v>
      </c>
    </row>
    <row r="31" spans="1:13" ht="21.75" customHeight="1">
      <c r="A31" s="49" t="s">
        <v>325</v>
      </c>
      <c r="B31" s="51" t="s">
        <v>278</v>
      </c>
      <c r="C31" s="55" t="s">
        <v>268</v>
      </c>
      <c r="D31" s="384"/>
      <c r="E31" s="384"/>
      <c r="F31" s="384"/>
      <c r="G31" s="384"/>
      <c r="H31" s="384"/>
      <c r="I31" s="384"/>
      <c r="J31" s="384"/>
      <c r="K31" s="384"/>
      <c r="L31" s="384"/>
      <c r="M31" s="384">
        <f t="shared" si="2"/>
        <v>0</v>
      </c>
    </row>
    <row r="32" spans="1:13" ht="21.75" customHeight="1">
      <c r="A32" s="49" t="s">
        <v>326</v>
      </c>
      <c r="B32" s="51" t="s">
        <v>277</v>
      </c>
      <c r="C32" s="55" t="s">
        <v>269</v>
      </c>
      <c r="D32" s="384"/>
      <c r="E32" s="384"/>
      <c r="F32" s="384">
        <v>160000</v>
      </c>
      <c r="G32" s="386">
        <v>800000</v>
      </c>
      <c r="H32" s="384">
        <v>302581</v>
      </c>
      <c r="I32" s="384"/>
      <c r="J32" s="384"/>
      <c r="K32" s="384"/>
      <c r="L32" s="384"/>
      <c r="M32" s="384">
        <f t="shared" si="2"/>
        <v>1262581</v>
      </c>
    </row>
    <row r="33" spans="1:13" ht="21.75" customHeight="1">
      <c r="A33" s="49" t="s">
        <v>327</v>
      </c>
      <c r="B33" s="52" t="s">
        <v>0</v>
      </c>
      <c r="C33" s="55" t="s">
        <v>270</v>
      </c>
      <c r="D33" s="384"/>
      <c r="E33" s="384"/>
      <c r="F33" s="384"/>
      <c r="G33" s="384"/>
      <c r="H33" s="384">
        <v>1245387</v>
      </c>
      <c r="I33" s="384"/>
      <c r="J33" s="384"/>
      <c r="K33" s="384"/>
      <c r="L33" s="384">
        <v>0</v>
      </c>
      <c r="M33" s="384">
        <f t="shared" si="2"/>
        <v>1245387</v>
      </c>
    </row>
    <row r="34" spans="1:14" ht="21.75" customHeight="1">
      <c r="A34" s="49" t="s">
        <v>328</v>
      </c>
      <c r="B34" s="51" t="s">
        <v>300</v>
      </c>
      <c r="C34" s="55" t="s">
        <v>271</v>
      </c>
      <c r="D34" s="384"/>
      <c r="E34" s="384"/>
      <c r="F34" s="384"/>
      <c r="G34" s="384"/>
      <c r="H34" s="384"/>
      <c r="I34" s="384"/>
      <c r="J34" s="384"/>
      <c r="K34" s="384"/>
      <c r="L34" s="384"/>
      <c r="M34" s="384">
        <f t="shared" si="2"/>
        <v>0</v>
      </c>
      <c r="N34" s="165">
        <f>SUM(M32:M36)</f>
        <v>7052868</v>
      </c>
    </row>
    <row r="35" spans="1:13" ht="21.75" customHeight="1">
      <c r="A35" s="49" t="s">
        <v>329</v>
      </c>
      <c r="B35" s="51" t="s">
        <v>295</v>
      </c>
      <c r="C35" s="55" t="s">
        <v>272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>
        <f t="shared" si="2"/>
        <v>0</v>
      </c>
    </row>
    <row r="36" spans="1:13" ht="21.75" customHeight="1">
      <c r="A36" s="49" t="s">
        <v>330</v>
      </c>
      <c r="B36" s="51" t="s">
        <v>296</v>
      </c>
      <c r="C36" s="55" t="s">
        <v>273</v>
      </c>
      <c r="D36" s="384"/>
      <c r="E36" s="386">
        <v>4531600</v>
      </c>
      <c r="F36" s="384"/>
      <c r="G36" s="384"/>
      <c r="H36" s="384">
        <v>13300</v>
      </c>
      <c r="I36" s="384"/>
      <c r="J36" s="384"/>
      <c r="K36" s="384"/>
      <c r="L36" s="384"/>
      <c r="M36" s="384">
        <f t="shared" si="2"/>
        <v>4544900</v>
      </c>
    </row>
    <row r="37" spans="1:14" s="223" customFormat="1" ht="21.75" customHeight="1">
      <c r="A37" s="49" t="s">
        <v>331</v>
      </c>
      <c r="B37" s="52" t="s">
        <v>297</v>
      </c>
      <c r="C37" s="55" t="s">
        <v>274</v>
      </c>
      <c r="D37" s="384">
        <f aca="true" t="shared" si="8" ref="D37:J37">+D30+D31+D32+D33+D34+D35+D36</f>
        <v>0</v>
      </c>
      <c r="E37" s="385">
        <f t="shared" si="8"/>
        <v>4531600</v>
      </c>
      <c r="F37" s="385">
        <f t="shared" si="8"/>
        <v>160000</v>
      </c>
      <c r="G37" s="385">
        <f t="shared" si="8"/>
        <v>800000</v>
      </c>
      <c r="H37" s="385">
        <f t="shared" si="8"/>
        <v>1561268</v>
      </c>
      <c r="I37" s="385">
        <f>+I30+I31+I32+I33+I34+I35+I36</f>
        <v>0</v>
      </c>
      <c r="J37" s="385">
        <f t="shared" si="8"/>
        <v>0</v>
      </c>
      <c r="K37" s="385">
        <f>+K30+K31+K32+K33+K34+K35+K36</f>
        <v>0</v>
      </c>
      <c r="L37" s="385">
        <f>+L30+L31+L32+L33+L34+L35+L36</f>
        <v>0</v>
      </c>
      <c r="M37" s="385">
        <f t="shared" si="2"/>
        <v>7052868</v>
      </c>
      <c r="N37" s="222">
        <f>M36+M35+M34+M33+M32+M31+M30</f>
        <v>7052868</v>
      </c>
    </row>
    <row r="38" spans="1:15" ht="21.75" customHeight="1">
      <c r="A38" s="49" t="s">
        <v>332</v>
      </c>
      <c r="B38" s="55" t="s">
        <v>298</v>
      </c>
      <c r="C38" s="250" t="s">
        <v>276</v>
      </c>
      <c r="D38" s="384">
        <f aca="true" t="shared" si="9" ref="D38:J38">SUM(D40:D44)</f>
        <v>562149234</v>
      </c>
      <c r="E38" s="384">
        <f t="shared" si="9"/>
        <v>0</v>
      </c>
      <c r="F38" s="384">
        <f t="shared" si="9"/>
        <v>0</v>
      </c>
      <c r="G38" s="384">
        <f t="shared" si="9"/>
        <v>0</v>
      </c>
      <c r="H38" s="384">
        <f t="shared" si="9"/>
        <v>0</v>
      </c>
      <c r="I38" s="384">
        <f>SUM(I40:I44)</f>
        <v>0</v>
      </c>
      <c r="J38" s="384">
        <f t="shared" si="9"/>
        <v>0</v>
      </c>
      <c r="K38" s="384">
        <f>SUM(K40:K44)</f>
        <v>0</v>
      </c>
      <c r="L38" s="384">
        <f>SUM(L40:L44)</f>
        <v>0</v>
      </c>
      <c r="M38" s="384">
        <f t="shared" si="2"/>
        <v>562149234</v>
      </c>
      <c r="N38" s="165">
        <f>SUM(M40:M43)</f>
        <v>562149234</v>
      </c>
      <c r="O38" s="165">
        <f>+D38-495743485</f>
        <v>66405749</v>
      </c>
    </row>
    <row r="39" spans="1:14" ht="21.75" customHeight="1">
      <c r="A39" s="49" t="s">
        <v>333</v>
      </c>
      <c r="B39" s="177" t="s">
        <v>754</v>
      </c>
      <c r="C39" s="250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165"/>
    </row>
    <row r="40" spans="1:13" ht="21.75" customHeight="1">
      <c r="A40" s="49" t="s">
        <v>334</v>
      </c>
      <c r="B40" s="56" t="s">
        <v>713</v>
      </c>
      <c r="C40" s="251"/>
      <c r="D40" s="384"/>
      <c r="E40" s="384"/>
      <c r="F40" s="384"/>
      <c r="G40" s="384"/>
      <c r="H40" s="384"/>
      <c r="I40" s="384"/>
      <c r="J40" s="384"/>
      <c r="K40" s="384"/>
      <c r="L40" s="384"/>
      <c r="M40" s="384">
        <f aca="true" t="shared" si="10" ref="M40:M50">SUM(D40:L40)</f>
        <v>0</v>
      </c>
    </row>
    <row r="41" spans="1:13" ht="21.75" customHeight="1">
      <c r="A41" s="49" t="s">
        <v>341</v>
      </c>
      <c r="B41" s="56" t="s">
        <v>714</v>
      </c>
      <c r="C41" s="251"/>
      <c r="D41" s="384"/>
      <c r="E41" s="384"/>
      <c r="F41" s="384"/>
      <c r="G41" s="384"/>
      <c r="H41" s="384"/>
      <c r="I41" s="384"/>
      <c r="J41" s="384"/>
      <c r="K41" s="384"/>
      <c r="L41" s="384"/>
      <c r="M41" s="384">
        <f t="shared" si="10"/>
        <v>0</v>
      </c>
    </row>
    <row r="42" spans="1:13" ht="21.75" customHeight="1">
      <c r="A42" s="49" t="s">
        <v>342</v>
      </c>
      <c r="B42" s="56" t="s">
        <v>715</v>
      </c>
      <c r="C42" s="251"/>
      <c r="D42" s="384">
        <f>M27-M30-M32-M33-M35-M40</f>
        <v>552296134</v>
      </c>
      <c r="E42" s="384"/>
      <c r="F42" s="384"/>
      <c r="G42" s="384"/>
      <c r="H42" s="384"/>
      <c r="I42" s="384"/>
      <c r="J42" s="384"/>
      <c r="K42" s="384"/>
      <c r="L42" s="384"/>
      <c r="M42" s="384">
        <f t="shared" si="10"/>
        <v>552296134</v>
      </c>
    </row>
    <row r="43" spans="1:13" ht="21.75" customHeight="1">
      <c r="A43" s="49" t="s">
        <v>343</v>
      </c>
      <c r="B43" s="56" t="s">
        <v>716</v>
      </c>
      <c r="C43" s="251"/>
      <c r="D43" s="384">
        <f>M28-M31-M34-M36-M41</f>
        <v>9853100</v>
      </c>
      <c r="E43" s="384"/>
      <c r="F43" s="384"/>
      <c r="G43" s="384"/>
      <c r="H43" s="384"/>
      <c r="I43" s="384"/>
      <c r="J43" s="384"/>
      <c r="K43" s="384"/>
      <c r="L43" s="384"/>
      <c r="M43" s="384">
        <f t="shared" si="10"/>
        <v>9853100</v>
      </c>
    </row>
    <row r="44" spans="1:13" ht="21.75" customHeight="1">
      <c r="A44" s="49" t="s">
        <v>344</v>
      </c>
      <c r="B44" s="56" t="s">
        <v>769</v>
      </c>
      <c r="C44" s="251"/>
      <c r="D44" s="384"/>
      <c r="E44" s="384"/>
      <c r="F44" s="384"/>
      <c r="G44" s="384"/>
      <c r="H44" s="384"/>
      <c r="I44" s="384"/>
      <c r="J44" s="384"/>
      <c r="K44" s="384"/>
      <c r="L44" s="384"/>
      <c r="M44" s="384">
        <f t="shared" si="10"/>
        <v>0</v>
      </c>
    </row>
    <row r="45" spans="1:13" ht="21.75" customHeight="1">
      <c r="A45" s="49" t="s">
        <v>345</v>
      </c>
      <c r="B45" s="510" t="s">
        <v>1409</v>
      </c>
      <c r="C45" s="251"/>
      <c r="D45" s="384"/>
      <c r="E45" s="384"/>
      <c r="F45" s="384"/>
      <c r="G45" s="384"/>
      <c r="H45" s="384"/>
      <c r="I45" s="384"/>
      <c r="J45" s="384"/>
      <c r="K45" s="384"/>
      <c r="L45" s="384"/>
      <c r="M45" s="384"/>
    </row>
    <row r="46" spans="1:14" ht="21.75" customHeight="1">
      <c r="A46" s="49" t="s">
        <v>346</v>
      </c>
      <c r="B46" s="57" t="s">
        <v>145</v>
      </c>
      <c r="C46" s="250"/>
      <c r="D46" s="385">
        <f aca="true" t="shared" si="11" ref="D46:J46">+D30+D32+D33+D35+D40+D42</f>
        <v>552296134</v>
      </c>
      <c r="E46" s="385">
        <f t="shared" si="11"/>
        <v>0</v>
      </c>
      <c r="F46" s="385">
        <f t="shared" si="11"/>
        <v>160000</v>
      </c>
      <c r="G46" s="385">
        <f t="shared" si="11"/>
        <v>800000</v>
      </c>
      <c r="H46" s="385">
        <f t="shared" si="11"/>
        <v>1547968</v>
      </c>
      <c r="I46" s="385">
        <f>+I30+I32+I33+I35+I40+I42</f>
        <v>0</v>
      </c>
      <c r="J46" s="385">
        <f t="shared" si="11"/>
        <v>0</v>
      </c>
      <c r="K46" s="385">
        <f>+K30+K32+K33+K35+K40+K42</f>
        <v>0</v>
      </c>
      <c r="L46" s="385">
        <f>+L30+L32+L33+L35+L40+L42</f>
        <v>0</v>
      </c>
      <c r="M46" s="385">
        <f t="shared" si="10"/>
        <v>554804102</v>
      </c>
      <c r="N46" s="165">
        <f>M42+M35+M33+M32+M30</f>
        <v>554804102</v>
      </c>
    </row>
    <row r="47" spans="1:14" ht="21.75" customHeight="1">
      <c r="A47" s="49" t="s">
        <v>347</v>
      </c>
      <c r="B47" s="57" t="s">
        <v>146</v>
      </c>
      <c r="C47" s="250"/>
      <c r="D47" s="385">
        <f aca="true" t="shared" si="12" ref="D47:J47">+D31+D34+D36+D41+D428+D44+D43</f>
        <v>9853100</v>
      </c>
      <c r="E47" s="385">
        <f t="shared" si="12"/>
        <v>4531600</v>
      </c>
      <c r="F47" s="385">
        <f t="shared" si="12"/>
        <v>0</v>
      </c>
      <c r="G47" s="385">
        <f t="shared" si="12"/>
        <v>0</v>
      </c>
      <c r="H47" s="385">
        <f t="shared" si="12"/>
        <v>13300</v>
      </c>
      <c r="I47" s="385">
        <f>+I31+I34+I36+I41+I428+I44+I43</f>
        <v>0</v>
      </c>
      <c r="J47" s="385">
        <f t="shared" si="12"/>
        <v>0</v>
      </c>
      <c r="K47" s="385">
        <f>+K31+K34+K36+K41+K428+K44+K43</f>
        <v>0</v>
      </c>
      <c r="L47" s="385">
        <f>+L31+L34+L36+L41+L428+L44+L43</f>
        <v>0</v>
      </c>
      <c r="M47" s="385">
        <f t="shared" si="10"/>
        <v>14398000</v>
      </c>
      <c r="N47" s="165">
        <f>M43+M36+M34+M31</f>
        <v>14398000</v>
      </c>
    </row>
    <row r="48" spans="1:14" ht="21.75" customHeight="1">
      <c r="A48" s="49" t="s">
        <v>348</v>
      </c>
      <c r="B48" s="57" t="s">
        <v>399</v>
      </c>
      <c r="C48" s="250"/>
      <c r="D48" s="385">
        <f aca="true" t="shared" si="13" ref="D48:J48">+D46+D47</f>
        <v>562149234</v>
      </c>
      <c r="E48" s="385">
        <f t="shared" si="13"/>
        <v>4531600</v>
      </c>
      <c r="F48" s="385">
        <f t="shared" si="13"/>
        <v>160000</v>
      </c>
      <c r="G48" s="385">
        <f t="shared" si="13"/>
        <v>800000</v>
      </c>
      <c r="H48" s="385">
        <f t="shared" si="13"/>
        <v>1561268</v>
      </c>
      <c r="I48" s="385">
        <f>+I46+I47</f>
        <v>0</v>
      </c>
      <c r="J48" s="385">
        <f t="shared" si="13"/>
        <v>0</v>
      </c>
      <c r="K48" s="385">
        <f>+K46+K47</f>
        <v>0</v>
      </c>
      <c r="L48" s="385">
        <f>+L46+L47</f>
        <v>0</v>
      </c>
      <c r="M48" s="385">
        <f t="shared" si="10"/>
        <v>569202102</v>
      </c>
      <c r="N48" s="165">
        <f>SUM(N46:N47)</f>
        <v>569202102</v>
      </c>
    </row>
    <row r="49" spans="1:15" ht="21.75" customHeight="1">
      <c r="A49" s="49" t="s">
        <v>349</v>
      </c>
      <c r="B49" s="90" t="s">
        <v>551</v>
      </c>
      <c r="C49" s="387"/>
      <c r="D49" s="384"/>
      <c r="E49" s="384">
        <f>'12.sz.mell. Létszámtábla'!C13</f>
        <v>47</v>
      </c>
      <c r="F49" s="384">
        <f>'12.sz.mell. Létszámtábla'!C14</f>
        <v>7</v>
      </c>
      <c r="G49" s="384">
        <f>'12.sz.mell. Létszámtábla'!C15</f>
        <v>2</v>
      </c>
      <c r="H49" s="384"/>
      <c r="I49" s="384"/>
      <c r="J49" s="384"/>
      <c r="K49" s="384"/>
      <c r="L49" s="384"/>
      <c r="M49" s="384">
        <f t="shared" si="10"/>
        <v>56</v>
      </c>
      <c r="O49" s="165">
        <f>M48-M29</f>
        <v>0</v>
      </c>
    </row>
    <row r="50" spans="1:15" ht="21.75" customHeight="1">
      <c r="A50" s="49" t="s">
        <v>350</v>
      </c>
      <c r="B50" s="90" t="s">
        <v>899</v>
      </c>
      <c r="C50" s="387"/>
      <c r="D50" s="470"/>
      <c r="E50" s="470"/>
      <c r="F50" s="470"/>
      <c r="G50" s="470"/>
      <c r="H50" s="470"/>
      <c r="I50" s="470"/>
      <c r="J50" s="470"/>
      <c r="K50" s="470"/>
      <c r="L50" s="470"/>
      <c r="M50" s="470">
        <f t="shared" si="10"/>
        <v>0</v>
      </c>
      <c r="O50" s="165"/>
    </row>
  </sheetData>
  <sheetProtection/>
  <mergeCells count="18">
    <mergeCell ref="H5:H6"/>
    <mergeCell ref="F5:F6"/>
    <mergeCell ref="L5:L6"/>
    <mergeCell ref="D2:G2"/>
    <mergeCell ref="K5:K6"/>
    <mergeCell ref="I5:I6"/>
    <mergeCell ref="H2:K2"/>
    <mergeCell ref="L2:M2"/>
    <mergeCell ref="A3:A6"/>
    <mergeCell ref="B3:C3"/>
    <mergeCell ref="M3:M6"/>
    <mergeCell ref="A2:C2"/>
    <mergeCell ref="G5:G6"/>
    <mergeCell ref="D5:D6"/>
    <mergeCell ref="E5:E6"/>
    <mergeCell ref="J5:J6"/>
    <mergeCell ref="B4:C4"/>
    <mergeCell ref="B5:C5"/>
  </mergeCells>
  <printOptions horizontalCentered="1" verticalCentered="1"/>
  <pageMargins left="0.3937007874015748" right="0.35433070866141736" top="0.1968503937007874" bottom="0.1968503937007874" header="0.5118110236220472" footer="0.5118110236220472"/>
  <pageSetup horizontalDpi="200" verticalDpi="200" orientation="portrait" paperSize="9" scale="55" r:id="rId1"/>
  <headerFooter alignWithMargins="0">
    <oddHeader>&amp;C2019. évi költségvetés&amp;R&amp;A</oddHeader>
    <oddFooter>&amp;C&amp;P/&amp;N</oddFooter>
  </headerFooter>
  <colBreaks count="2" manualBreakCount="2">
    <brk id="7" max="47" man="1"/>
    <brk id="11" max="4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="73" zoomScaleSheetLayoutView="73" zoomScalePageLayoutView="0" workbookViewId="0" topLeftCell="A1">
      <selection activeCell="B18" sqref="B18"/>
    </sheetView>
  </sheetViews>
  <sheetFormatPr defaultColWidth="9.00390625" defaultRowHeight="12.75"/>
  <cols>
    <col min="1" max="1" width="10.625" style="0" customWidth="1"/>
    <col min="2" max="2" width="104.875" style="0" customWidth="1"/>
    <col min="3" max="3" width="13.625" style="0" customWidth="1"/>
    <col min="4" max="4" width="13.875" style="0" customWidth="1"/>
    <col min="5" max="5" width="17.625" style="0" customWidth="1"/>
  </cols>
  <sheetData>
    <row r="1" spans="1:5" ht="22.5" customHeight="1">
      <c r="A1" s="1359" t="s">
        <v>967</v>
      </c>
      <c r="B1" s="1359"/>
      <c r="C1" s="1359"/>
      <c r="D1" s="1359"/>
      <c r="E1" s="1359"/>
    </row>
    <row r="3" spans="1:5" ht="75">
      <c r="A3" s="331" t="s">
        <v>224</v>
      </c>
      <c r="B3" s="332" t="s">
        <v>3</v>
      </c>
      <c r="C3" s="333" t="s">
        <v>104</v>
      </c>
      <c r="D3" s="333" t="s">
        <v>105</v>
      </c>
      <c r="E3" s="334" t="s">
        <v>106</v>
      </c>
    </row>
    <row r="4" spans="1:5" ht="18.75">
      <c r="A4" s="1360" t="s">
        <v>107</v>
      </c>
      <c r="B4" s="1361"/>
      <c r="C4" s="1361"/>
      <c r="D4" s="1361"/>
      <c r="E4" s="1362"/>
    </row>
    <row r="5" spans="1:5" ht="15.75">
      <c r="A5" s="437" t="s">
        <v>108</v>
      </c>
      <c r="B5" s="438" t="s">
        <v>109</v>
      </c>
      <c r="C5" s="1363">
        <f>+E7+E9</f>
        <v>379411990</v>
      </c>
      <c r="D5" s="1363"/>
      <c r="E5" s="1364"/>
    </row>
    <row r="6" spans="1:5" ht="15.75">
      <c r="A6" s="335" t="s">
        <v>108</v>
      </c>
      <c r="B6" s="301" t="s">
        <v>659</v>
      </c>
      <c r="C6" s="1365">
        <f>+E29</f>
        <v>0</v>
      </c>
      <c r="D6" s="1366"/>
      <c r="E6" s="1367"/>
    </row>
    <row r="7" spans="1:5" ht="15.75">
      <c r="A7" s="336" t="s">
        <v>660</v>
      </c>
      <c r="B7" s="664" t="s">
        <v>661</v>
      </c>
      <c r="C7" s="665">
        <v>42.8</v>
      </c>
      <c r="D7" s="302">
        <v>4580000</v>
      </c>
      <c r="E7" s="303">
        <f>+C7*D7</f>
        <v>196024000</v>
      </c>
    </row>
    <row r="8" spans="1:5" ht="15.75">
      <c r="A8" s="336" t="s">
        <v>662</v>
      </c>
      <c r="B8" s="666" t="s">
        <v>663</v>
      </c>
      <c r="C8" s="665"/>
      <c r="D8" s="302"/>
      <c r="E8" s="303">
        <v>0</v>
      </c>
    </row>
    <row r="9" spans="1:5" ht="15.75">
      <c r="A9" s="336" t="s">
        <v>664</v>
      </c>
      <c r="B9" s="337" t="s">
        <v>665</v>
      </c>
      <c r="C9" s="660"/>
      <c r="D9" s="302"/>
      <c r="E9" s="303">
        <f>+E11+E13+E15+E17+E19+E21+E23</f>
        <v>183387990</v>
      </c>
    </row>
    <row r="10" spans="1:5" ht="15.75">
      <c r="A10" s="336" t="s">
        <v>666</v>
      </c>
      <c r="B10" s="337" t="s">
        <v>667</v>
      </c>
      <c r="C10" s="660"/>
      <c r="D10" s="302"/>
      <c r="E10" s="303">
        <f>+E12+E14+E16+E18+E20+E22+E24</f>
        <v>0</v>
      </c>
    </row>
    <row r="11" spans="1:5" ht="15.75">
      <c r="A11" s="336" t="s">
        <v>668</v>
      </c>
      <c r="B11" s="337" t="s">
        <v>669</v>
      </c>
      <c r="C11" s="667">
        <f>24407350/22300</f>
        <v>1094.5</v>
      </c>
      <c r="D11" s="302">
        <v>22300</v>
      </c>
      <c r="E11" s="303">
        <f>+C11*D11</f>
        <v>24407350</v>
      </c>
    </row>
    <row r="12" spans="1:5" ht="15.75">
      <c r="A12" s="336" t="s">
        <v>670</v>
      </c>
      <c r="B12" s="337" t="s">
        <v>671</v>
      </c>
      <c r="C12" s="659"/>
      <c r="D12" s="302"/>
      <c r="E12" s="303">
        <v>0</v>
      </c>
    </row>
    <row r="13" spans="1:5" ht="15.75">
      <c r="A13" s="336" t="s">
        <v>672</v>
      </c>
      <c r="B13" s="337" t="s">
        <v>673</v>
      </c>
      <c r="C13" s="659">
        <v>143.7</v>
      </c>
      <c r="D13" s="302">
        <v>400000</v>
      </c>
      <c r="E13" s="303">
        <f>+C13*D13</f>
        <v>57479999.99999999</v>
      </c>
    </row>
    <row r="14" spans="1:5" ht="15.75">
      <c r="A14" s="336" t="s">
        <v>674</v>
      </c>
      <c r="B14" s="337" t="s">
        <v>675</v>
      </c>
      <c r="C14" s="659"/>
      <c r="D14" s="302"/>
      <c r="E14" s="303">
        <v>0</v>
      </c>
    </row>
    <row r="15" spans="1:5" ht="15.75">
      <c r="A15" s="336" t="s">
        <v>676</v>
      </c>
      <c r="B15" s="337" t="s">
        <v>677</v>
      </c>
      <c r="C15" s="659">
        <f>8971040/104</f>
        <v>86260</v>
      </c>
      <c r="D15" s="302">
        <v>104</v>
      </c>
      <c r="E15" s="303">
        <f>+C15*D15</f>
        <v>8971040</v>
      </c>
    </row>
    <row r="16" spans="1:5" ht="15.75">
      <c r="A16" s="336" t="s">
        <v>678</v>
      </c>
      <c r="B16" s="337" t="s">
        <v>679</v>
      </c>
      <c r="C16" s="659"/>
      <c r="D16" s="302"/>
      <c r="E16" s="303">
        <v>0</v>
      </c>
    </row>
    <row r="17" spans="1:5" ht="15.75">
      <c r="A17" s="336" t="s">
        <v>680</v>
      </c>
      <c r="B17" s="337" t="s">
        <v>681</v>
      </c>
      <c r="C17" s="659">
        <v>108.06</v>
      </c>
      <c r="D17" s="302">
        <v>295000</v>
      </c>
      <c r="E17" s="303">
        <f>+C17*D17</f>
        <v>31877700</v>
      </c>
    </row>
    <row r="18" spans="1:5" ht="15.75">
      <c r="A18" s="336" t="s">
        <v>682</v>
      </c>
      <c r="B18" s="337" t="s">
        <v>683</v>
      </c>
      <c r="C18" s="659"/>
      <c r="D18" s="302"/>
      <c r="E18" s="303">
        <v>0</v>
      </c>
    </row>
    <row r="19" spans="1:5" ht="15.75">
      <c r="A19" s="336" t="s">
        <v>684</v>
      </c>
      <c r="B19" s="337" t="s">
        <v>685</v>
      </c>
      <c r="C19" s="659">
        <f>60264000/2700</f>
        <v>22320</v>
      </c>
      <c r="D19" s="302">
        <v>2700</v>
      </c>
      <c r="E19" s="303">
        <f>+C19*D19</f>
        <v>60264000</v>
      </c>
    </row>
    <row r="20" spans="1:5" ht="15.75">
      <c r="A20" s="336" t="s">
        <v>686</v>
      </c>
      <c r="B20" s="337" t="s">
        <v>806</v>
      </c>
      <c r="C20" s="660"/>
      <c r="D20" s="302"/>
      <c r="E20" s="303">
        <v>0</v>
      </c>
    </row>
    <row r="21" spans="1:5" ht="15.75">
      <c r="A21" s="336" t="s">
        <v>687</v>
      </c>
      <c r="B21" s="337" t="s">
        <v>688</v>
      </c>
      <c r="C21" s="660">
        <f>249900/2550</f>
        <v>98</v>
      </c>
      <c r="D21" s="302">
        <v>2550</v>
      </c>
      <c r="E21" s="303">
        <f>+C21*D21</f>
        <v>249900</v>
      </c>
    </row>
    <row r="22" spans="1:5" ht="15.75">
      <c r="A22" s="336" t="s">
        <v>689</v>
      </c>
      <c r="B22" s="337" t="s">
        <v>690</v>
      </c>
      <c r="C22" s="660"/>
      <c r="D22" s="302"/>
      <c r="E22" s="303">
        <v>0</v>
      </c>
    </row>
    <row r="23" spans="1:5" ht="15.75">
      <c r="A23" s="336" t="s">
        <v>691</v>
      </c>
      <c r="B23" s="337" t="s">
        <v>692</v>
      </c>
      <c r="C23" s="660">
        <v>138000</v>
      </c>
      <c r="D23" s="302">
        <v>1</v>
      </c>
      <c r="E23" s="303">
        <f>+C23*D23</f>
        <v>138000</v>
      </c>
    </row>
    <row r="24" spans="1:5" ht="15.75">
      <c r="A24" s="336" t="s">
        <v>693</v>
      </c>
      <c r="B24" s="337" t="s">
        <v>694</v>
      </c>
      <c r="C24" s="660"/>
      <c r="D24" s="302"/>
      <c r="E24" s="303">
        <v>0</v>
      </c>
    </row>
    <row r="25" spans="1:5" ht="15.75">
      <c r="A25" s="336" t="s">
        <v>695</v>
      </c>
      <c r="B25" s="337" t="s">
        <v>696</v>
      </c>
      <c r="C25" s="660"/>
      <c r="D25" s="302"/>
      <c r="E25" s="303">
        <v>0</v>
      </c>
    </row>
    <row r="26" spans="1:5" ht="15.75">
      <c r="A26" s="338" t="s">
        <v>697</v>
      </c>
      <c r="B26" s="339" t="s">
        <v>698</v>
      </c>
      <c r="C26" s="340"/>
      <c r="D26" s="304"/>
      <c r="E26" s="305">
        <v>405888959</v>
      </c>
    </row>
    <row r="27" spans="1:5" ht="15.75">
      <c r="A27" s="336" t="s">
        <v>699</v>
      </c>
      <c r="B27" s="337" t="s">
        <v>700</v>
      </c>
      <c r="C27" s="341"/>
      <c r="D27" s="302"/>
      <c r="E27" s="303">
        <v>0</v>
      </c>
    </row>
    <row r="28" spans="1:5" ht="15.75">
      <c r="A28" s="439" t="s">
        <v>701</v>
      </c>
      <c r="B28" s="440" t="s">
        <v>702</v>
      </c>
      <c r="C28" s="441"/>
      <c r="D28" s="442"/>
      <c r="E28" s="443">
        <v>355126625</v>
      </c>
    </row>
    <row r="29" spans="1:5" ht="15.75">
      <c r="A29" s="342" t="s">
        <v>807</v>
      </c>
      <c r="B29" s="343" t="s">
        <v>868</v>
      </c>
      <c r="C29" s="344"/>
      <c r="D29" s="306"/>
      <c r="E29" s="307"/>
    </row>
    <row r="30" spans="1:5" ht="15.75">
      <c r="A30" s="345" t="s">
        <v>110</v>
      </c>
      <c r="B30" s="346" t="s">
        <v>111</v>
      </c>
      <c r="C30" s="1368">
        <f>+C31+C38+C41+C47</f>
        <v>575643566.6666667</v>
      </c>
      <c r="D30" s="1368"/>
      <c r="E30" s="1369"/>
    </row>
    <row r="31" spans="1:5" ht="15">
      <c r="A31" s="308" t="s">
        <v>112</v>
      </c>
      <c r="B31" s="309" t="s">
        <v>113</v>
      </c>
      <c r="C31" s="1370">
        <f>+E32+E35</f>
        <v>463098766.66666675</v>
      </c>
      <c r="D31" s="1370"/>
      <c r="E31" s="1371"/>
    </row>
    <row r="32" spans="1:5" ht="15">
      <c r="A32" s="308"/>
      <c r="B32" s="309" t="s">
        <v>869</v>
      </c>
      <c r="C32" s="519"/>
      <c r="D32" s="519"/>
      <c r="E32" s="520">
        <f>+E33+E34</f>
        <v>310966833.3333334</v>
      </c>
    </row>
    <row r="33" spans="1:5" ht="15">
      <c r="A33" s="308"/>
      <c r="B33" s="312" t="s">
        <v>114</v>
      </c>
      <c r="C33" s="444">
        <v>83.5</v>
      </c>
      <c r="D33" s="445">
        <f>4371500/12*8</f>
        <v>2914333.3333333335</v>
      </c>
      <c r="E33" s="520">
        <f>+C33*D33</f>
        <v>243346833.33333334</v>
      </c>
    </row>
    <row r="34" spans="1:5" ht="15">
      <c r="A34" s="308"/>
      <c r="B34" s="312" t="s">
        <v>115</v>
      </c>
      <c r="C34" s="444">
        <v>46</v>
      </c>
      <c r="D34" s="445">
        <f>2205000/12*8</f>
        <v>1470000</v>
      </c>
      <c r="E34" s="520">
        <f>+C34*D34</f>
        <v>67620000</v>
      </c>
    </row>
    <row r="35" spans="1:5" ht="15">
      <c r="A35" s="308"/>
      <c r="B35" s="309" t="s">
        <v>870</v>
      </c>
      <c r="C35" s="519"/>
      <c r="D35" s="519"/>
      <c r="E35" s="520">
        <f>+E36+E37</f>
        <v>152131933.33333334</v>
      </c>
    </row>
    <row r="36" spans="1:5" ht="15">
      <c r="A36" s="311"/>
      <c r="B36" s="312" t="s">
        <v>114</v>
      </c>
      <c r="C36" s="444">
        <v>81.2</v>
      </c>
      <c r="D36" s="445">
        <f>4371500/12*4</f>
        <v>1457166.6666666667</v>
      </c>
      <c r="E36" s="446">
        <f>+C36*D36</f>
        <v>118321933.33333334</v>
      </c>
    </row>
    <row r="37" spans="1:5" ht="15">
      <c r="A37" s="311"/>
      <c r="B37" s="312" t="s">
        <v>115</v>
      </c>
      <c r="C37" s="444">
        <v>46</v>
      </c>
      <c r="D37" s="445">
        <f>2205000/12*4</f>
        <v>735000</v>
      </c>
      <c r="E37" s="446">
        <f>+C37*D37</f>
        <v>33810000</v>
      </c>
    </row>
    <row r="38" spans="1:5" ht="15">
      <c r="A38" s="308" t="s">
        <v>116</v>
      </c>
      <c r="B38" s="309" t="s">
        <v>117</v>
      </c>
      <c r="C38" s="1343">
        <f>+E39+E40</f>
        <v>91653400</v>
      </c>
      <c r="D38" s="1343"/>
      <c r="E38" s="1344"/>
    </row>
    <row r="39" spans="1:5" ht="15">
      <c r="A39" s="308"/>
      <c r="B39" s="313" t="s">
        <v>808</v>
      </c>
      <c r="C39" s="444">
        <v>941</v>
      </c>
      <c r="D39" s="445">
        <f>97400/12*8</f>
        <v>64933.333333333336</v>
      </c>
      <c r="E39" s="446">
        <f>+C39*D39</f>
        <v>61102266.66666667</v>
      </c>
    </row>
    <row r="40" spans="1:5" ht="15">
      <c r="A40" s="310"/>
      <c r="B40" s="313" t="s">
        <v>871</v>
      </c>
      <c r="C40" s="444">
        <v>941</v>
      </c>
      <c r="D40" s="445">
        <f>97400/12*4</f>
        <v>32466.666666666668</v>
      </c>
      <c r="E40" s="446">
        <f>+C40*D40</f>
        <v>30551133.333333336</v>
      </c>
    </row>
    <row r="41" spans="1:5" ht="15">
      <c r="A41" s="308" t="s">
        <v>499</v>
      </c>
      <c r="B41" s="309" t="s">
        <v>171</v>
      </c>
      <c r="C41" s="1345">
        <f>+E42</f>
        <v>15824400</v>
      </c>
      <c r="D41" s="1345"/>
      <c r="E41" s="1346"/>
    </row>
    <row r="42" spans="1:5" ht="15">
      <c r="A42" s="314"/>
      <c r="B42" s="315" t="s">
        <v>172</v>
      </c>
      <c r="C42" s="444"/>
      <c r="D42" s="445"/>
      <c r="E42" s="347">
        <f>+E43+E44+E45+E46</f>
        <v>15824400</v>
      </c>
    </row>
    <row r="43" spans="1:5" ht="15">
      <c r="A43" s="450" t="s">
        <v>809</v>
      </c>
      <c r="B43" s="451" t="s">
        <v>173</v>
      </c>
      <c r="C43" s="452">
        <v>18</v>
      </c>
      <c r="D43" s="453">
        <v>396700</v>
      </c>
      <c r="E43" s="454">
        <f>+C43*D43</f>
        <v>7140600</v>
      </c>
    </row>
    <row r="44" spans="1:5" ht="15">
      <c r="A44" s="661" t="s">
        <v>810</v>
      </c>
      <c r="B44" s="662" t="s">
        <v>872</v>
      </c>
      <c r="C44" s="447">
        <v>0</v>
      </c>
      <c r="D44" s="448">
        <f>+D43/12*11</f>
        <v>363641.6666666667</v>
      </c>
      <c r="E44" s="449">
        <f>+C44*D44</f>
        <v>0</v>
      </c>
    </row>
    <row r="45" spans="1:5" ht="15">
      <c r="A45" s="450" t="s">
        <v>811</v>
      </c>
      <c r="B45" s="451" t="s">
        <v>174</v>
      </c>
      <c r="C45" s="452">
        <v>6</v>
      </c>
      <c r="D45" s="453">
        <v>1447300</v>
      </c>
      <c r="E45" s="454">
        <f>+C45*D45</f>
        <v>8683800</v>
      </c>
    </row>
    <row r="46" spans="1:5" ht="15">
      <c r="A46" s="661" t="s">
        <v>812</v>
      </c>
      <c r="B46" s="662" t="s">
        <v>873</v>
      </c>
      <c r="C46" s="447">
        <v>0</v>
      </c>
      <c r="D46" s="448">
        <f>+D45/12*11</f>
        <v>1326691.6666666665</v>
      </c>
      <c r="E46" s="449">
        <f>+C46*D46</f>
        <v>0</v>
      </c>
    </row>
    <row r="47" spans="1:5" ht="15">
      <c r="A47" s="308" t="s">
        <v>874</v>
      </c>
      <c r="B47" s="309" t="s">
        <v>875</v>
      </c>
      <c r="C47" s="1345">
        <f>+E48</f>
        <v>5067000</v>
      </c>
      <c r="D47" s="1345"/>
      <c r="E47" s="1346"/>
    </row>
    <row r="48" spans="1:5" ht="15">
      <c r="A48" s="450"/>
      <c r="B48" s="451" t="s">
        <v>876</v>
      </c>
      <c r="C48" s="452">
        <v>9</v>
      </c>
      <c r="D48" s="453">
        <v>563000</v>
      </c>
      <c r="E48" s="454">
        <f>+C48*D48</f>
        <v>5067000</v>
      </c>
    </row>
    <row r="49" spans="1:5" ht="15">
      <c r="A49" s="310" t="s">
        <v>118</v>
      </c>
      <c r="B49" s="301" t="s">
        <v>119</v>
      </c>
      <c r="C49" s="1355">
        <f>+E50+C51+E58+C60+E64</f>
        <v>214088393</v>
      </c>
      <c r="D49" s="1355"/>
      <c r="E49" s="1356"/>
    </row>
    <row r="50" spans="1:5" ht="15">
      <c r="A50" s="455" t="s">
        <v>120</v>
      </c>
      <c r="B50" s="316" t="s">
        <v>703</v>
      </c>
      <c r="C50" s="1351"/>
      <c r="D50" s="1352"/>
      <c r="E50" s="456"/>
    </row>
    <row r="51" spans="1:5" ht="15">
      <c r="A51" s="308" t="s">
        <v>121</v>
      </c>
      <c r="B51" s="309" t="s">
        <v>122</v>
      </c>
      <c r="C51" s="1357">
        <f>+E52+E53+E54+E57</f>
        <v>27269680</v>
      </c>
      <c r="D51" s="1357"/>
      <c r="E51" s="1358"/>
    </row>
    <row r="52" spans="1:5" ht="15">
      <c r="A52" s="314" t="s">
        <v>123</v>
      </c>
      <c r="B52" s="313" t="s">
        <v>500</v>
      </c>
      <c r="C52" s="457">
        <v>4.3</v>
      </c>
      <c r="D52" s="445">
        <v>3400000</v>
      </c>
      <c r="E52" s="446">
        <f>+C52*D52</f>
        <v>14620000</v>
      </c>
    </row>
    <row r="53" spans="1:5" ht="15">
      <c r="A53" s="314" t="s">
        <v>501</v>
      </c>
      <c r="B53" s="313" t="s">
        <v>124</v>
      </c>
      <c r="C53" s="444">
        <v>88</v>
      </c>
      <c r="D53" s="445">
        <v>55360</v>
      </c>
      <c r="E53" s="446">
        <f>C53*D53</f>
        <v>4871680</v>
      </c>
    </row>
    <row r="54" spans="1:5" ht="15">
      <c r="A54" s="314" t="s">
        <v>502</v>
      </c>
      <c r="B54" s="313" t="s">
        <v>125</v>
      </c>
      <c r="C54" s="1353"/>
      <c r="D54" s="1354"/>
      <c r="E54" s="446">
        <f>+E55+E56</f>
        <v>5380000</v>
      </c>
    </row>
    <row r="55" spans="1:5" ht="15">
      <c r="A55" s="314" t="s">
        <v>704</v>
      </c>
      <c r="B55" s="317" t="s">
        <v>705</v>
      </c>
      <c r="C55" s="444">
        <v>4</v>
      </c>
      <c r="D55" s="453">
        <v>25000</v>
      </c>
      <c r="E55" s="446">
        <f>+C55*D55</f>
        <v>100000</v>
      </c>
    </row>
    <row r="56" spans="1:5" ht="15">
      <c r="A56" s="314" t="s">
        <v>706</v>
      </c>
      <c r="B56" s="317" t="s">
        <v>707</v>
      </c>
      <c r="C56" s="444">
        <v>16</v>
      </c>
      <c r="D56" s="453">
        <v>330000</v>
      </c>
      <c r="E56" s="446">
        <f>+C56*D56</f>
        <v>5280000</v>
      </c>
    </row>
    <row r="57" spans="1:5" ht="15">
      <c r="A57" s="314" t="s">
        <v>503</v>
      </c>
      <c r="B57" s="313" t="s">
        <v>126</v>
      </c>
      <c r="C57" s="444">
        <v>22</v>
      </c>
      <c r="D57" s="445">
        <v>109000</v>
      </c>
      <c r="E57" s="446">
        <f>C57*D57</f>
        <v>2398000</v>
      </c>
    </row>
    <row r="58" spans="1:5" ht="30">
      <c r="A58" s="308" t="s">
        <v>504</v>
      </c>
      <c r="B58" s="318" t="s">
        <v>505</v>
      </c>
      <c r="C58" s="1347"/>
      <c r="D58" s="1348"/>
      <c r="E58" s="446">
        <f>+E59</f>
        <v>0</v>
      </c>
    </row>
    <row r="59" spans="1:5" ht="15">
      <c r="A59" s="314" t="s">
        <v>506</v>
      </c>
      <c r="B59" s="313" t="s">
        <v>877</v>
      </c>
      <c r="C59" s="458">
        <v>0</v>
      </c>
      <c r="D59" s="445">
        <v>2606040</v>
      </c>
      <c r="E59" s="446">
        <f>+C59*D59</f>
        <v>0</v>
      </c>
    </row>
    <row r="60" spans="1:5" ht="15">
      <c r="A60" s="308" t="s">
        <v>127</v>
      </c>
      <c r="B60" s="309" t="s">
        <v>128</v>
      </c>
      <c r="C60" s="1349">
        <f>E61+E62+E63</f>
        <v>130004913</v>
      </c>
      <c r="D60" s="1349"/>
      <c r="E60" s="1350"/>
    </row>
    <row r="61" spans="1:5" ht="15">
      <c r="A61" s="314" t="s">
        <v>878</v>
      </c>
      <c r="B61" s="313" t="s">
        <v>129</v>
      </c>
      <c r="C61" s="319">
        <v>39.83</v>
      </c>
      <c r="D61" s="445">
        <v>1900000</v>
      </c>
      <c r="E61" s="446">
        <f>+D61*C61</f>
        <v>75677000</v>
      </c>
    </row>
    <row r="62" spans="1:5" ht="15">
      <c r="A62" s="661" t="s">
        <v>879</v>
      </c>
      <c r="B62" s="662" t="s">
        <v>813</v>
      </c>
      <c r="C62" s="1372"/>
      <c r="D62" s="1373"/>
      <c r="E62" s="449">
        <v>53779003</v>
      </c>
    </row>
    <row r="63" spans="1:5" ht="15">
      <c r="A63" s="314" t="s">
        <v>130</v>
      </c>
      <c r="B63" s="313" t="s">
        <v>814</v>
      </c>
      <c r="C63" s="319">
        <v>1926</v>
      </c>
      <c r="D63" s="445">
        <v>285</v>
      </c>
      <c r="E63" s="446">
        <f>+C63*D63</f>
        <v>548910</v>
      </c>
    </row>
    <row r="64" spans="1:5" ht="15">
      <c r="A64" s="320" t="s">
        <v>880</v>
      </c>
      <c r="B64" s="321" t="s">
        <v>815</v>
      </c>
      <c r="C64" s="1374"/>
      <c r="D64" s="1375"/>
      <c r="E64" s="349">
        <f>+E65</f>
        <v>56813800</v>
      </c>
    </row>
    <row r="65" spans="1:5" ht="15">
      <c r="A65" s="459" t="s">
        <v>816</v>
      </c>
      <c r="B65" s="460" t="s">
        <v>129</v>
      </c>
      <c r="C65" s="1374"/>
      <c r="D65" s="1375"/>
      <c r="E65" s="349">
        <f>+E66+E67</f>
        <v>56813800</v>
      </c>
    </row>
    <row r="66" spans="1:5" ht="15">
      <c r="A66" s="459"/>
      <c r="B66" s="460" t="s">
        <v>817</v>
      </c>
      <c r="C66" s="461">
        <v>5</v>
      </c>
      <c r="D66" s="348">
        <v>4419000</v>
      </c>
      <c r="E66" s="462">
        <f>+C66*D66</f>
        <v>22095000</v>
      </c>
    </row>
    <row r="67" spans="1:5" ht="15">
      <c r="A67" s="459"/>
      <c r="B67" s="460" t="s">
        <v>818</v>
      </c>
      <c r="C67" s="461">
        <v>11.6</v>
      </c>
      <c r="D67" s="348">
        <v>2993000</v>
      </c>
      <c r="E67" s="462">
        <f>+C67*D67</f>
        <v>34718800</v>
      </c>
    </row>
    <row r="68" spans="1:5" ht="15">
      <c r="A68" s="459" t="s">
        <v>881</v>
      </c>
      <c r="B68" s="662" t="s">
        <v>882</v>
      </c>
      <c r="C68" s="1372"/>
      <c r="D68" s="1373"/>
      <c r="E68" s="449">
        <v>35754000</v>
      </c>
    </row>
    <row r="69" spans="1:5" ht="15">
      <c r="A69" s="308" t="s">
        <v>131</v>
      </c>
      <c r="B69" s="301" t="s">
        <v>132</v>
      </c>
      <c r="C69" s="1376"/>
      <c r="D69" s="1377"/>
      <c r="E69" s="463">
        <f>+E70+E71+E72</f>
        <v>27007200</v>
      </c>
    </row>
    <row r="70" spans="1:5" ht="15">
      <c r="A70" s="661" t="s">
        <v>133</v>
      </c>
      <c r="B70" s="662" t="s">
        <v>134</v>
      </c>
      <c r="C70" s="658">
        <v>22320</v>
      </c>
      <c r="D70" s="448">
        <v>1210</v>
      </c>
      <c r="E70" s="449">
        <f>+C70*D70</f>
        <v>27007200</v>
      </c>
    </row>
    <row r="71" spans="1:5" ht="15">
      <c r="A71" s="661" t="s">
        <v>507</v>
      </c>
      <c r="B71" s="662" t="s">
        <v>508</v>
      </c>
      <c r="C71" s="1378"/>
      <c r="D71" s="1378"/>
      <c r="E71" s="464"/>
    </row>
    <row r="72" spans="1:5" ht="15">
      <c r="A72" s="661" t="s">
        <v>819</v>
      </c>
      <c r="B72" s="663" t="s">
        <v>820</v>
      </c>
      <c r="C72" s="1379"/>
      <c r="D72" s="1380"/>
      <c r="E72" s="465"/>
    </row>
    <row r="73" spans="1:5" ht="15.75">
      <c r="A73" s="1381" t="s">
        <v>135</v>
      </c>
      <c r="B73" s="1382"/>
      <c r="C73" s="1383">
        <f>+C6+C30+C49+E69</f>
        <v>816739159.6666667</v>
      </c>
      <c r="D73" s="1384"/>
      <c r="E73" s="1385"/>
    </row>
    <row r="74" spans="1:5" ht="15.75">
      <c r="A74" s="1381" t="s">
        <v>702</v>
      </c>
      <c r="B74" s="1382"/>
      <c r="C74" s="1386">
        <f>+E28</f>
        <v>355126625</v>
      </c>
      <c r="D74" s="1387"/>
      <c r="E74" s="1388"/>
    </row>
    <row r="75" spans="1:5" ht="15.75">
      <c r="A75" s="322"/>
      <c r="B75" s="322"/>
      <c r="C75" s="477" t="s">
        <v>175</v>
      </c>
      <c r="D75" s="477"/>
      <c r="E75" s="477"/>
    </row>
    <row r="76" spans="1:5" ht="18.75">
      <c r="A76" s="1389" t="s">
        <v>968</v>
      </c>
      <c r="B76" s="1389"/>
      <c r="C76" s="1390">
        <f>+C73-C74</f>
        <v>461612534.66666675</v>
      </c>
      <c r="D76" s="1391"/>
      <c r="E76" s="1391"/>
    </row>
  </sheetData>
  <sheetProtection/>
  <mergeCells count="28">
    <mergeCell ref="C72:D72"/>
    <mergeCell ref="A73:B73"/>
    <mergeCell ref="C73:E73"/>
    <mergeCell ref="A74:B74"/>
    <mergeCell ref="C74:E74"/>
    <mergeCell ref="A76:B76"/>
    <mergeCell ref="C76:E76"/>
    <mergeCell ref="C62:D62"/>
    <mergeCell ref="C64:D64"/>
    <mergeCell ref="C65:D65"/>
    <mergeCell ref="C68:D68"/>
    <mergeCell ref="C69:D69"/>
    <mergeCell ref="C71:D71"/>
    <mergeCell ref="A1:E1"/>
    <mergeCell ref="A4:E4"/>
    <mergeCell ref="C5:E5"/>
    <mergeCell ref="C6:E6"/>
    <mergeCell ref="C30:E30"/>
    <mergeCell ref="C31:E31"/>
    <mergeCell ref="C38:E38"/>
    <mergeCell ref="C41:E41"/>
    <mergeCell ref="C47:E47"/>
    <mergeCell ref="C58:D58"/>
    <mergeCell ref="C60:E60"/>
    <mergeCell ref="C50:D50"/>
    <mergeCell ref="C54:D54"/>
    <mergeCell ref="C49:E49"/>
    <mergeCell ref="C51:E5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3"/>
  <headerFooter>
    <oddHeader>&amp;C2019. évi költségvetés&amp;R&amp;A</oddHeader>
    <oddFooter>&amp;C&amp;P/&amp;N</oddFooter>
  </headerFooter>
  <rowBreaks count="1" manualBreakCount="1">
    <brk id="48" max="25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BreakPreview" zoomScale="76" zoomScaleSheetLayoutView="76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2" sqref="B12"/>
    </sheetView>
  </sheetViews>
  <sheetFormatPr defaultColWidth="9.00390625" defaultRowHeight="12.75"/>
  <cols>
    <col min="1" max="1" width="39.25390625" style="0" customWidth="1"/>
    <col min="3" max="4" width="16.00390625" style="0" customWidth="1"/>
    <col min="5" max="5" width="15.625" style="0" customWidth="1"/>
    <col min="6" max="6" width="22.125" style="0" bestFit="1" customWidth="1"/>
    <col min="7" max="7" width="17.875" style="0" customWidth="1"/>
  </cols>
  <sheetData>
    <row r="1" spans="1:7" ht="33.75" customHeight="1">
      <c r="A1" s="1393" t="s">
        <v>614</v>
      </c>
      <c r="B1" s="1393"/>
      <c r="C1" s="1393"/>
      <c r="D1" s="1393"/>
      <c r="E1" s="1393"/>
      <c r="F1" s="1393"/>
      <c r="G1" s="1393"/>
    </row>
    <row r="2" spans="1:7" s="226" customFormat="1" ht="93.75" customHeight="1">
      <c r="A2" s="224" t="s">
        <v>549</v>
      </c>
      <c r="B2" s="224" t="s">
        <v>550</v>
      </c>
      <c r="C2" s="225" t="s">
        <v>609</v>
      </c>
      <c r="D2" s="225" t="s">
        <v>966</v>
      </c>
      <c r="E2" s="225" t="s">
        <v>610</v>
      </c>
      <c r="F2" s="225" t="s">
        <v>611</v>
      </c>
      <c r="G2" s="225" t="s">
        <v>612</v>
      </c>
    </row>
    <row r="3" spans="1:7" s="227" customFormat="1" ht="31.5" customHeight="1">
      <c r="A3" s="358" t="s">
        <v>552</v>
      </c>
      <c r="B3" s="359"/>
      <c r="C3" s="360">
        <f>SUM(C4:C11)</f>
        <v>24</v>
      </c>
      <c r="D3" s="360">
        <f>SUM(D4:D11)</f>
        <v>2</v>
      </c>
      <c r="E3" s="360">
        <f>SUM(E4:E11)</f>
        <v>21.8</v>
      </c>
      <c r="F3" s="360">
        <f>SUM(F4:F11)</f>
        <v>19.8</v>
      </c>
      <c r="G3" s="360">
        <f>SUM(G4:G11)</f>
        <v>22</v>
      </c>
    </row>
    <row r="4" spans="1:7" s="226" customFormat="1" ht="25.5" customHeight="1">
      <c r="A4" s="361" t="s">
        <v>553</v>
      </c>
      <c r="B4" s="357" t="s">
        <v>554</v>
      </c>
      <c r="C4" s="362">
        <v>1</v>
      </c>
      <c r="D4" s="372">
        <v>0</v>
      </c>
      <c r="E4" s="362">
        <v>1</v>
      </c>
      <c r="F4" s="362">
        <v>1</v>
      </c>
      <c r="G4" s="362">
        <v>1</v>
      </c>
    </row>
    <row r="5" spans="1:7" s="226" customFormat="1" ht="25.5" customHeight="1">
      <c r="A5" s="361" t="s">
        <v>710</v>
      </c>
      <c r="B5" s="363" t="s">
        <v>711</v>
      </c>
      <c r="C5" s="362">
        <v>1</v>
      </c>
      <c r="D5" s="372">
        <v>0</v>
      </c>
      <c r="E5" s="362">
        <v>1</v>
      </c>
      <c r="F5" s="362">
        <v>1</v>
      </c>
      <c r="G5" s="362">
        <v>1</v>
      </c>
    </row>
    <row r="6" spans="1:7" s="226" customFormat="1" ht="25.5" customHeight="1">
      <c r="A6" s="361" t="s">
        <v>555</v>
      </c>
      <c r="B6" s="357" t="s">
        <v>556</v>
      </c>
      <c r="C6" s="362">
        <v>4</v>
      </c>
      <c r="D6" s="372">
        <v>0</v>
      </c>
      <c r="E6" s="362">
        <v>2.05</v>
      </c>
      <c r="F6" s="362">
        <v>2.05</v>
      </c>
      <c r="G6" s="362">
        <v>4</v>
      </c>
    </row>
    <row r="7" spans="1:7" s="226" customFormat="1" ht="25.5" customHeight="1">
      <c r="A7" s="361" t="s">
        <v>557</v>
      </c>
      <c r="B7" s="357" t="s">
        <v>558</v>
      </c>
      <c r="C7" s="362">
        <v>2</v>
      </c>
      <c r="D7" s="362">
        <v>1</v>
      </c>
      <c r="E7" s="362">
        <v>2</v>
      </c>
      <c r="F7" s="362">
        <v>1</v>
      </c>
      <c r="G7" s="362">
        <v>1</v>
      </c>
    </row>
    <row r="8" spans="1:7" s="226" customFormat="1" ht="30.75" customHeight="1">
      <c r="A8" s="361" t="s">
        <v>559</v>
      </c>
      <c r="B8" s="357" t="s">
        <v>170</v>
      </c>
      <c r="C8" s="362">
        <v>3</v>
      </c>
      <c r="D8" s="362">
        <v>1</v>
      </c>
      <c r="E8" s="362">
        <v>2.75</v>
      </c>
      <c r="F8" s="362">
        <v>1.75</v>
      </c>
      <c r="G8" s="362">
        <v>2</v>
      </c>
    </row>
    <row r="9" spans="1:7" s="226" customFormat="1" ht="25.5" customHeight="1">
      <c r="A9" s="361" t="s">
        <v>560</v>
      </c>
      <c r="B9" s="357" t="s">
        <v>561</v>
      </c>
      <c r="C9" s="362">
        <v>2</v>
      </c>
      <c r="D9" s="372">
        <v>0</v>
      </c>
      <c r="E9" s="362">
        <v>2</v>
      </c>
      <c r="F9" s="362">
        <v>2</v>
      </c>
      <c r="G9" s="362">
        <v>2</v>
      </c>
    </row>
    <row r="10" spans="1:7" s="226" customFormat="1" ht="25.5" customHeight="1">
      <c r="A10" s="361" t="s">
        <v>562</v>
      </c>
      <c r="B10" s="357" t="s">
        <v>563</v>
      </c>
      <c r="C10" s="362">
        <v>5</v>
      </c>
      <c r="D10" s="372">
        <v>0</v>
      </c>
      <c r="E10" s="362">
        <v>5</v>
      </c>
      <c r="F10" s="362">
        <v>5</v>
      </c>
      <c r="G10" s="362">
        <v>5</v>
      </c>
    </row>
    <row r="11" spans="1:7" s="226" customFormat="1" ht="25.5" customHeight="1">
      <c r="A11" s="361" t="s">
        <v>830</v>
      </c>
      <c r="B11" s="363" t="s">
        <v>653</v>
      </c>
      <c r="C11" s="362">
        <v>6</v>
      </c>
      <c r="D11" s="372">
        <v>0</v>
      </c>
      <c r="E11" s="362">
        <v>6</v>
      </c>
      <c r="F11" s="362">
        <v>6</v>
      </c>
      <c r="G11" s="362">
        <v>6</v>
      </c>
    </row>
    <row r="12" spans="1:7" s="227" customFormat="1" ht="29.25" customHeight="1">
      <c r="A12" s="358" t="s">
        <v>99</v>
      </c>
      <c r="B12" s="359"/>
      <c r="C12" s="360">
        <f>SUM(C13:C15)</f>
        <v>56</v>
      </c>
      <c r="D12" s="360">
        <f>SUM(D13:D15)</f>
        <v>1</v>
      </c>
      <c r="E12" s="360">
        <f>SUM(E13:E15)</f>
        <v>56</v>
      </c>
      <c r="F12" s="360">
        <f>SUM(F13:F15)</f>
        <v>54</v>
      </c>
      <c r="G12" s="360">
        <f>SUM(G13:G15)</f>
        <v>58</v>
      </c>
    </row>
    <row r="13" spans="1:7" s="226" customFormat="1" ht="25.5" customHeight="1">
      <c r="A13" s="361" t="s">
        <v>564</v>
      </c>
      <c r="B13" s="357" t="s">
        <v>103</v>
      </c>
      <c r="C13" s="362">
        <v>47</v>
      </c>
      <c r="D13" s="362">
        <v>1</v>
      </c>
      <c r="E13" s="362">
        <v>47</v>
      </c>
      <c r="F13" s="362">
        <v>45</v>
      </c>
      <c r="G13" s="362">
        <v>49</v>
      </c>
    </row>
    <row r="14" spans="1:7" s="226" customFormat="1" ht="25.5" customHeight="1">
      <c r="A14" s="361" t="s">
        <v>565</v>
      </c>
      <c r="B14" s="357" t="s">
        <v>166</v>
      </c>
      <c r="C14" s="362">
        <v>7</v>
      </c>
      <c r="D14" s="372">
        <v>0</v>
      </c>
      <c r="E14" s="362">
        <v>7</v>
      </c>
      <c r="F14" s="362">
        <v>7</v>
      </c>
      <c r="G14" s="362">
        <v>7</v>
      </c>
    </row>
    <row r="15" spans="1:7" s="226" customFormat="1" ht="25.5" customHeight="1">
      <c r="A15" s="361" t="s">
        <v>566</v>
      </c>
      <c r="B15" s="357" t="s">
        <v>190</v>
      </c>
      <c r="C15" s="362">
        <v>2</v>
      </c>
      <c r="D15" s="372">
        <v>0</v>
      </c>
      <c r="E15" s="362">
        <f>1+1</f>
        <v>2</v>
      </c>
      <c r="F15" s="362">
        <f>1+1</f>
        <v>2</v>
      </c>
      <c r="G15" s="362">
        <f>1+1</f>
        <v>2</v>
      </c>
    </row>
    <row r="16" spans="1:7" s="227" customFormat="1" ht="25.5" customHeight="1">
      <c r="A16" s="358" t="s">
        <v>24</v>
      </c>
      <c r="B16" s="359"/>
      <c r="C16" s="360">
        <f>SUM(C17:C19)</f>
        <v>49</v>
      </c>
      <c r="D16" s="360">
        <f>SUM(D17:D19)</f>
        <v>0</v>
      </c>
      <c r="E16" s="360">
        <f>SUM(E17:E19)</f>
        <v>49</v>
      </c>
      <c r="F16" s="360">
        <f>SUM(F17:F19)</f>
        <v>49</v>
      </c>
      <c r="G16" s="360">
        <f>SUM(G17:G19)</f>
        <v>51</v>
      </c>
    </row>
    <row r="17" spans="1:7" s="226" customFormat="1" ht="25.5" customHeight="1">
      <c r="A17" s="361" t="s">
        <v>567</v>
      </c>
      <c r="B17" s="357" t="s">
        <v>103</v>
      </c>
      <c r="C17" s="362">
        <v>5</v>
      </c>
      <c r="D17" s="372">
        <v>0</v>
      </c>
      <c r="E17" s="362">
        <v>5</v>
      </c>
      <c r="F17" s="362">
        <v>5</v>
      </c>
      <c r="G17" s="362">
        <v>5</v>
      </c>
    </row>
    <row r="18" spans="1:7" s="226" customFormat="1" ht="25.5" customHeight="1">
      <c r="A18" s="361" t="s">
        <v>568</v>
      </c>
      <c r="B18" s="357" t="s">
        <v>166</v>
      </c>
      <c r="C18" s="362">
        <v>24</v>
      </c>
      <c r="D18" s="372">
        <v>0</v>
      </c>
      <c r="E18" s="362">
        <v>24</v>
      </c>
      <c r="F18" s="362">
        <v>24</v>
      </c>
      <c r="G18" s="362">
        <v>26</v>
      </c>
    </row>
    <row r="19" spans="1:7" s="226" customFormat="1" ht="25.5" customHeight="1">
      <c r="A19" s="361" t="s">
        <v>568</v>
      </c>
      <c r="B19" s="363" t="s">
        <v>190</v>
      </c>
      <c r="C19" s="362">
        <v>20</v>
      </c>
      <c r="D19" s="372">
        <v>0</v>
      </c>
      <c r="E19" s="362">
        <v>20</v>
      </c>
      <c r="F19" s="362">
        <v>20</v>
      </c>
      <c r="G19" s="362">
        <v>20</v>
      </c>
    </row>
    <row r="20" spans="1:7" s="227" customFormat="1" ht="25.5" customHeight="1">
      <c r="A20" s="358" t="s">
        <v>25</v>
      </c>
      <c r="B20" s="359"/>
      <c r="C20" s="360">
        <f>C21+C22</f>
        <v>47</v>
      </c>
      <c r="D20" s="360">
        <f>D21+D22</f>
        <v>0</v>
      </c>
      <c r="E20" s="360">
        <f>E21+E22</f>
        <v>47</v>
      </c>
      <c r="F20" s="360">
        <f>F21+F22</f>
        <v>47</v>
      </c>
      <c r="G20" s="360">
        <f>G21+G22</f>
        <v>48</v>
      </c>
    </row>
    <row r="21" spans="1:7" s="226" customFormat="1" ht="25.5" customHeight="1">
      <c r="A21" s="361" t="s">
        <v>569</v>
      </c>
      <c r="B21" s="357" t="s">
        <v>103</v>
      </c>
      <c r="C21" s="362">
        <v>46</v>
      </c>
      <c r="D21" s="372">
        <v>0</v>
      </c>
      <c r="E21" s="362">
        <v>46</v>
      </c>
      <c r="F21" s="362">
        <v>46</v>
      </c>
      <c r="G21" s="362">
        <v>47</v>
      </c>
    </row>
    <row r="22" spans="1:7" s="226" customFormat="1" ht="37.5" customHeight="1">
      <c r="A22" s="361" t="s">
        <v>896</v>
      </c>
      <c r="B22" s="363" t="s">
        <v>191</v>
      </c>
      <c r="C22" s="362">
        <v>1</v>
      </c>
      <c r="D22" s="372">
        <v>0</v>
      </c>
      <c r="E22" s="362">
        <v>1</v>
      </c>
      <c r="F22" s="362">
        <v>1</v>
      </c>
      <c r="G22" s="362">
        <v>1</v>
      </c>
    </row>
    <row r="23" spans="1:7" s="226" customFormat="1" ht="25.5" customHeight="1">
      <c r="A23" s="358" t="s">
        <v>799</v>
      </c>
      <c r="B23" s="359"/>
      <c r="C23" s="360">
        <f>SUM(C24:C25)</f>
        <v>41</v>
      </c>
      <c r="D23" s="360">
        <f>SUM(D24:D25)</f>
        <v>0</v>
      </c>
      <c r="E23" s="360">
        <f>SUM(E24:E25)</f>
        <v>41</v>
      </c>
      <c r="F23" s="360">
        <f>SUM(F24:F25)</f>
        <v>41</v>
      </c>
      <c r="G23" s="360">
        <f>SUM(G24:G25)</f>
        <v>41</v>
      </c>
    </row>
    <row r="24" spans="1:7" s="226" customFormat="1" ht="25.5" customHeight="1">
      <c r="A24" s="361" t="s">
        <v>570</v>
      </c>
      <c r="B24" s="357" t="s">
        <v>103</v>
      </c>
      <c r="C24" s="362">
        <v>15</v>
      </c>
      <c r="D24" s="372">
        <v>0</v>
      </c>
      <c r="E24" s="362">
        <v>15</v>
      </c>
      <c r="F24" s="362">
        <v>15</v>
      </c>
      <c r="G24" s="362">
        <v>15</v>
      </c>
    </row>
    <row r="25" spans="1:7" s="226" customFormat="1" ht="25.5" customHeight="1">
      <c r="A25" s="361" t="s">
        <v>571</v>
      </c>
      <c r="B25" s="357" t="s">
        <v>166</v>
      </c>
      <c r="C25" s="362">
        <v>26</v>
      </c>
      <c r="D25" s="372">
        <v>0</v>
      </c>
      <c r="E25" s="362">
        <v>26</v>
      </c>
      <c r="F25" s="362">
        <v>26</v>
      </c>
      <c r="G25" s="362">
        <v>26</v>
      </c>
    </row>
    <row r="26" spans="1:7" s="227" customFormat="1" ht="25.5" customHeight="1">
      <c r="A26" s="358" t="s">
        <v>100</v>
      </c>
      <c r="B26" s="364"/>
      <c r="C26" s="360">
        <f>SUM(C27:C28)</f>
        <v>72</v>
      </c>
      <c r="D26" s="360">
        <f>SUM(D27:D28)</f>
        <v>0</v>
      </c>
      <c r="E26" s="360">
        <f>SUM(E27:E28)</f>
        <v>72</v>
      </c>
      <c r="F26" s="360">
        <f>SUM(F27:F28)</f>
        <v>72</v>
      </c>
      <c r="G26" s="360">
        <f>SUM(G27:G28)</f>
        <v>76</v>
      </c>
    </row>
    <row r="27" spans="1:7" s="226" customFormat="1" ht="25.5" customHeight="1">
      <c r="A27" s="361" t="s">
        <v>572</v>
      </c>
      <c r="B27" s="357" t="s">
        <v>103</v>
      </c>
      <c r="C27" s="362">
        <v>49</v>
      </c>
      <c r="D27" s="372">
        <v>0</v>
      </c>
      <c r="E27" s="362">
        <v>49</v>
      </c>
      <c r="F27" s="362">
        <v>49</v>
      </c>
      <c r="G27" s="362">
        <v>53</v>
      </c>
    </row>
    <row r="28" spans="1:7" s="226" customFormat="1" ht="25.5" customHeight="1">
      <c r="A28" s="361" t="s">
        <v>573</v>
      </c>
      <c r="B28" s="357" t="s">
        <v>166</v>
      </c>
      <c r="C28" s="362">
        <v>23</v>
      </c>
      <c r="D28" s="372">
        <v>0</v>
      </c>
      <c r="E28" s="362">
        <v>23</v>
      </c>
      <c r="F28" s="362">
        <v>23</v>
      </c>
      <c r="G28" s="362">
        <v>23</v>
      </c>
    </row>
    <row r="29" spans="1:7" s="227" customFormat="1" ht="30">
      <c r="A29" s="358" t="s">
        <v>26</v>
      </c>
      <c r="B29" s="365"/>
      <c r="C29" s="360">
        <f>SUM(C30:C39)</f>
        <v>34</v>
      </c>
      <c r="D29" s="360">
        <f>SUM(D30:D39)</f>
        <v>1</v>
      </c>
      <c r="E29" s="360">
        <f>SUM(E30:E39)</f>
        <v>32.525</v>
      </c>
      <c r="F29" s="360">
        <f>SUM(F30:F39)</f>
        <v>30.775</v>
      </c>
      <c r="G29" s="360">
        <f>SUM(G30:G39)</f>
        <v>32</v>
      </c>
    </row>
    <row r="30" spans="1:7" s="226" customFormat="1" ht="25.5" customHeight="1">
      <c r="A30" s="361" t="s">
        <v>574</v>
      </c>
      <c r="B30" s="357" t="s">
        <v>103</v>
      </c>
      <c r="C30" s="362">
        <v>8</v>
      </c>
      <c r="D30" s="362" t="s">
        <v>835</v>
      </c>
      <c r="E30" s="362">
        <v>8</v>
      </c>
      <c r="F30" s="362">
        <v>8</v>
      </c>
      <c r="G30" s="362">
        <v>8</v>
      </c>
    </row>
    <row r="31" spans="1:7" s="226" customFormat="1" ht="25.5" customHeight="1">
      <c r="A31" s="361" t="s">
        <v>575</v>
      </c>
      <c r="B31" s="357" t="s">
        <v>166</v>
      </c>
      <c r="C31" s="362">
        <v>1</v>
      </c>
      <c r="D31" s="372">
        <v>0</v>
      </c>
      <c r="E31" s="362">
        <v>1</v>
      </c>
      <c r="F31" s="362">
        <v>1</v>
      </c>
      <c r="G31" s="362">
        <v>1</v>
      </c>
    </row>
    <row r="32" spans="1:7" s="226" customFormat="1" ht="25.5" customHeight="1">
      <c r="A32" s="361" t="s">
        <v>576</v>
      </c>
      <c r="B32" s="357" t="s">
        <v>190</v>
      </c>
      <c r="C32" s="362">
        <v>3</v>
      </c>
      <c r="D32" s="372">
        <v>0</v>
      </c>
      <c r="E32" s="362">
        <v>2.5</v>
      </c>
      <c r="F32" s="362">
        <v>2.5</v>
      </c>
      <c r="G32" s="362">
        <v>3</v>
      </c>
    </row>
    <row r="33" spans="1:7" s="226" customFormat="1" ht="32.25" customHeight="1">
      <c r="A33" s="361" t="s">
        <v>577</v>
      </c>
      <c r="B33" s="357" t="s">
        <v>191</v>
      </c>
      <c r="C33" s="362">
        <v>2</v>
      </c>
      <c r="D33" s="372">
        <v>0</v>
      </c>
      <c r="E33" s="362">
        <v>2</v>
      </c>
      <c r="F33" s="362">
        <v>2</v>
      </c>
      <c r="G33" s="362">
        <v>2</v>
      </c>
    </row>
    <row r="34" spans="1:7" s="226" customFormat="1" ht="25.5" customHeight="1">
      <c r="A34" s="361" t="s">
        <v>578</v>
      </c>
      <c r="B34" s="357" t="s">
        <v>169</v>
      </c>
      <c r="C34" s="362">
        <v>2</v>
      </c>
      <c r="D34" s="372">
        <v>0</v>
      </c>
      <c r="E34" s="362">
        <v>1.525</v>
      </c>
      <c r="F34" s="362">
        <v>1.525</v>
      </c>
      <c r="G34" s="362">
        <v>2</v>
      </c>
    </row>
    <row r="35" spans="1:7" s="226" customFormat="1" ht="35.25" customHeight="1">
      <c r="A35" s="361" t="s">
        <v>579</v>
      </c>
      <c r="B35" s="357" t="s">
        <v>580</v>
      </c>
      <c r="C35" s="362">
        <v>3</v>
      </c>
      <c r="D35" s="372">
        <v>1</v>
      </c>
      <c r="E35" s="362">
        <v>2.5</v>
      </c>
      <c r="F35" s="362">
        <v>1.75</v>
      </c>
      <c r="G35" s="362">
        <v>2</v>
      </c>
    </row>
    <row r="36" spans="1:7" s="226" customFormat="1" ht="25.5" customHeight="1">
      <c r="A36" s="361" t="s">
        <v>581</v>
      </c>
      <c r="B36" s="357" t="s">
        <v>582</v>
      </c>
      <c r="C36" s="362">
        <v>2</v>
      </c>
      <c r="D36" s="372">
        <v>0</v>
      </c>
      <c r="E36" s="362">
        <v>2</v>
      </c>
      <c r="F36" s="362">
        <v>2</v>
      </c>
      <c r="G36" s="362">
        <v>2</v>
      </c>
    </row>
    <row r="37" spans="1:7" s="226" customFormat="1" ht="33.75" customHeight="1">
      <c r="A37" s="361" t="s">
        <v>583</v>
      </c>
      <c r="B37" s="357" t="s">
        <v>192</v>
      </c>
      <c r="C37" s="362">
        <v>10</v>
      </c>
      <c r="D37" s="372">
        <v>0</v>
      </c>
      <c r="E37" s="362">
        <v>10</v>
      </c>
      <c r="F37" s="362">
        <v>9</v>
      </c>
      <c r="G37" s="362">
        <v>9</v>
      </c>
    </row>
    <row r="38" spans="1:7" s="226" customFormat="1" ht="25.5" customHeight="1">
      <c r="A38" s="361" t="s">
        <v>584</v>
      </c>
      <c r="B38" s="357" t="s">
        <v>71</v>
      </c>
      <c r="C38" s="362">
        <v>2</v>
      </c>
      <c r="D38" s="372">
        <v>0</v>
      </c>
      <c r="E38" s="362">
        <v>2</v>
      </c>
      <c r="F38" s="362">
        <v>2</v>
      </c>
      <c r="G38" s="362">
        <v>2</v>
      </c>
    </row>
    <row r="39" spans="1:7" s="226" customFormat="1" ht="25.5" customHeight="1">
      <c r="A39" s="361" t="s">
        <v>719</v>
      </c>
      <c r="B39" s="357" t="s">
        <v>193</v>
      </c>
      <c r="C39" s="362">
        <v>1</v>
      </c>
      <c r="D39" s="372">
        <v>0</v>
      </c>
      <c r="E39" s="362">
        <v>1</v>
      </c>
      <c r="F39" s="362">
        <v>1</v>
      </c>
      <c r="G39" s="362">
        <v>1</v>
      </c>
    </row>
    <row r="40" spans="1:7" s="227" customFormat="1" ht="32.25" customHeight="1">
      <c r="A40" s="358" t="s">
        <v>831</v>
      </c>
      <c r="B40" s="365"/>
      <c r="C40" s="360">
        <f>C41</f>
        <v>7</v>
      </c>
      <c r="D40" s="360">
        <f>D41</f>
        <v>0</v>
      </c>
      <c r="E40" s="360">
        <f>E41</f>
        <v>7</v>
      </c>
      <c r="F40" s="360">
        <f>F41</f>
        <v>7</v>
      </c>
      <c r="G40" s="360">
        <f>G41</f>
        <v>7</v>
      </c>
    </row>
    <row r="41" spans="1:7" s="226" customFormat="1" ht="25.5" customHeight="1">
      <c r="A41" s="361" t="s">
        <v>585</v>
      </c>
      <c r="B41" s="357" t="s">
        <v>190</v>
      </c>
      <c r="C41" s="362">
        <v>7</v>
      </c>
      <c r="D41" s="372">
        <v>0</v>
      </c>
      <c r="E41" s="362">
        <v>7</v>
      </c>
      <c r="F41" s="362">
        <v>7</v>
      </c>
      <c r="G41" s="362">
        <v>7</v>
      </c>
    </row>
    <row r="42" spans="1:7" s="226" customFormat="1" ht="25.5" customHeight="1">
      <c r="A42" s="358" t="s">
        <v>800</v>
      </c>
      <c r="B42" s="365"/>
      <c r="C42" s="360">
        <f>SUM(C43:C44)</f>
        <v>10</v>
      </c>
      <c r="D42" s="360">
        <f>SUM(D43:D44)</f>
        <v>0</v>
      </c>
      <c r="E42" s="360">
        <f>SUM(E43:E44)</f>
        <v>10</v>
      </c>
      <c r="F42" s="360">
        <f>SUM(F43:F44)</f>
        <v>10</v>
      </c>
      <c r="G42" s="360">
        <f>SUM(G43:G44)</f>
        <v>10</v>
      </c>
    </row>
    <row r="43" spans="1:7" s="226" customFormat="1" ht="25.5" customHeight="1">
      <c r="A43" s="361" t="s">
        <v>833</v>
      </c>
      <c r="B43" s="357" t="s">
        <v>103</v>
      </c>
      <c r="C43" s="362">
        <v>1</v>
      </c>
      <c r="D43" s="372"/>
      <c r="E43" s="362">
        <v>1</v>
      </c>
      <c r="F43" s="362">
        <v>1</v>
      </c>
      <c r="G43" s="362">
        <v>1</v>
      </c>
    </row>
    <row r="44" spans="1:7" s="226" customFormat="1" ht="25.5" customHeight="1">
      <c r="A44" s="361" t="s">
        <v>586</v>
      </c>
      <c r="B44" s="357" t="s">
        <v>166</v>
      </c>
      <c r="C44" s="362">
        <v>9</v>
      </c>
      <c r="D44" s="372">
        <v>0</v>
      </c>
      <c r="E44" s="362">
        <v>9</v>
      </c>
      <c r="F44" s="362">
        <v>9</v>
      </c>
      <c r="G44" s="362">
        <v>9</v>
      </c>
    </row>
    <row r="45" spans="1:7" s="226" customFormat="1" ht="25.5" customHeight="1">
      <c r="A45" s="361" t="s">
        <v>834</v>
      </c>
      <c r="B45" s="357" t="s">
        <v>190</v>
      </c>
      <c r="C45" s="362">
        <v>0</v>
      </c>
      <c r="D45" s="372">
        <v>0</v>
      </c>
      <c r="E45" s="362">
        <v>0</v>
      </c>
      <c r="F45" s="362">
        <v>0</v>
      </c>
      <c r="G45" s="362">
        <v>0</v>
      </c>
    </row>
    <row r="46" spans="1:7" s="227" customFormat="1" ht="31.5" customHeight="1">
      <c r="A46" s="358" t="s">
        <v>587</v>
      </c>
      <c r="B46" s="365"/>
      <c r="C46" s="360">
        <f>SUM(C47:C47)</f>
        <v>10</v>
      </c>
      <c r="D46" s="360">
        <f>SUM(D47:D47)</f>
        <v>2</v>
      </c>
      <c r="E46" s="360">
        <f>SUM(E47:E47)</f>
        <v>10</v>
      </c>
      <c r="F46" s="360">
        <f>SUM(F47:F47)</f>
        <v>8</v>
      </c>
      <c r="G46" s="360">
        <f>SUM(G47:G47)</f>
        <v>8</v>
      </c>
    </row>
    <row r="47" spans="1:7" s="226" customFormat="1" ht="32.25" customHeight="1">
      <c r="A47" s="361" t="s">
        <v>832</v>
      </c>
      <c r="B47" s="357" t="s">
        <v>103</v>
      </c>
      <c r="C47" s="362">
        <v>10</v>
      </c>
      <c r="D47" s="362">
        <v>2</v>
      </c>
      <c r="E47" s="362">
        <v>10</v>
      </c>
      <c r="F47" s="362">
        <v>8</v>
      </c>
      <c r="G47" s="362">
        <v>8</v>
      </c>
    </row>
    <row r="48" spans="1:7" s="212" customFormat="1" ht="29.25" customHeight="1">
      <c r="A48" s="1392" t="s">
        <v>588</v>
      </c>
      <c r="B48" s="1392"/>
      <c r="C48" s="366">
        <f>+C3+C12+C20+C16+C26+C29+C40+C46+C42+C23</f>
        <v>350</v>
      </c>
      <c r="D48" s="366">
        <f>+D3+D12+D20+D16+D26+D29+D40+D46+D42+D23</f>
        <v>6</v>
      </c>
      <c r="E48" s="366">
        <f>+E3+E12+E20+E16+E26+E29+E40+E46+E42+E23</f>
        <v>346.325</v>
      </c>
      <c r="F48" s="366">
        <f>+F3+F12+F20+F16+F26+F29+F40+F46+F42+F23</f>
        <v>338.575</v>
      </c>
      <c r="G48" s="366">
        <f>+G3+G12+G20+G16+G26+G29+G40+G46+G42+G23</f>
        <v>353</v>
      </c>
    </row>
  </sheetData>
  <sheetProtection/>
  <mergeCells count="2">
    <mergeCell ref="A48:B48"/>
    <mergeCell ref="A1:G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5" r:id="rId1"/>
  <headerFooter>
    <oddHeader>&amp;C2019. évi költségvetés&amp;R&amp;A</oddHeader>
    <oddFooter>&amp;C&amp;P/&amp;N</oddFooter>
  </headerFooter>
  <rowBreaks count="1" manualBreakCount="1">
    <brk id="2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.25390625" style="0" customWidth="1"/>
    <col min="4" max="4" width="14.375" style="0" customWidth="1"/>
    <col min="5" max="6" width="13.125" style="0" customWidth="1"/>
    <col min="7" max="7" width="15.75390625" style="0" customWidth="1"/>
    <col min="8" max="8" width="13.125" style="0" customWidth="1"/>
    <col min="9" max="9" width="13.75390625" style="0" customWidth="1"/>
  </cols>
  <sheetData>
    <row r="1" spans="1:9" ht="32.25" customHeight="1">
      <c r="A1" s="1411" t="s">
        <v>1479</v>
      </c>
      <c r="B1" s="1411"/>
      <c r="C1" s="1411"/>
      <c r="D1" s="1411"/>
      <c r="E1" s="1411"/>
      <c r="F1" s="1411"/>
      <c r="G1" s="1411"/>
      <c r="H1" s="1411"/>
      <c r="I1" s="1411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678" t="s">
        <v>1042</v>
      </c>
      <c r="B3" s="678"/>
      <c r="C3" s="678"/>
      <c r="D3" s="678"/>
      <c r="E3" s="678"/>
      <c r="F3" s="679"/>
      <c r="G3" s="680"/>
      <c r="H3" s="680"/>
      <c r="I3" s="72" t="s">
        <v>541</v>
      </c>
    </row>
    <row r="4" spans="1:9" ht="65.25" customHeight="1">
      <c r="A4" s="681" t="s">
        <v>1043</v>
      </c>
      <c r="B4" s="1405" t="s">
        <v>1044</v>
      </c>
      <c r="C4" s="1405"/>
      <c r="D4" s="1406"/>
      <c r="E4" s="682" t="s">
        <v>1045</v>
      </c>
      <c r="F4" s="683" t="s">
        <v>1046</v>
      </c>
      <c r="G4" s="684" t="s">
        <v>1047</v>
      </c>
      <c r="H4" s="685" t="s">
        <v>1048</v>
      </c>
      <c r="I4" s="686" t="s">
        <v>1049</v>
      </c>
    </row>
    <row r="5" spans="1:9" ht="15" customHeight="1">
      <c r="A5" s="687" t="s">
        <v>246</v>
      </c>
      <c r="B5" s="1412" t="s">
        <v>1050</v>
      </c>
      <c r="C5" s="1412"/>
      <c r="D5" s="1413"/>
      <c r="E5" s="688">
        <v>0</v>
      </c>
      <c r="F5" s="689">
        <f>E5</f>
        <v>0</v>
      </c>
      <c r="G5" s="690">
        <v>5500000</v>
      </c>
      <c r="H5" s="691">
        <v>0</v>
      </c>
      <c r="I5" s="692">
        <v>0</v>
      </c>
    </row>
    <row r="6" spans="1:9" ht="15" customHeight="1">
      <c r="A6" s="693" t="s">
        <v>247</v>
      </c>
      <c r="B6" s="1414" t="s">
        <v>1051</v>
      </c>
      <c r="C6" s="1414"/>
      <c r="D6" s="1415"/>
      <c r="E6" s="694">
        <v>0</v>
      </c>
      <c r="F6" s="695">
        <f>E6</f>
        <v>0</v>
      </c>
      <c r="G6" s="695">
        <v>0</v>
      </c>
      <c r="H6" s="696">
        <v>0</v>
      </c>
      <c r="I6" s="697">
        <v>0</v>
      </c>
    </row>
    <row r="7" spans="1:9" ht="15" customHeight="1">
      <c r="A7" s="698" t="s">
        <v>248</v>
      </c>
      <c r="B7" s="1416" t="s">
        <v>1052</v>
      </c>
      <c r="C7" s="1416"/>
      <c r="D7" s="1417"/>
      <c r="E7" s="699">
        <v>0</v>
      </c>
      <c r="F7" s="700">
        <f>E7</f>
        <v>0</v>
      </c>
      <c r="G7" s="700">
        <v>0</v>
      </c>
      <c r="H7" s="701">
        <v>0</v>
      </c>
      <c r="I7" s="702">
        <v>0</v>
      </c>
    </row>
    <row r="8" spans="1:9" ht="15" customHeight="1">
      <c r="A8" s="1418" t="s">
        <v>1053</v>
      </c>
      <c r="B8" s="1419"/>
      <c r="C8" s="1419"/>
      <c r="D8" s="1420"/>
      <c r="E8" s="703">
        <f>SUM(E5:E7)</f>
        <v>0</v>
      </c>
      <c r="F8" s="703">
        <f>SUM(F5:F7)</f>
        <v>0</v>
      </c>
      <c r="G8" s="703">
        <f>SUM(G5:G7)</f>
        <v>5500000</v>
      </c>
      <c r="H8" s="704">
        <f>SUM(H5:H7)</f>
        <v>0</v>
      </c>
      <c r="I8" s="705">
        <f>SUM(I5:I7)</f>
        <v>0</v>
      </c>
    </row>
    <row r="9" spans="1:9" ht="12.75">
      <c r="A9" s="706"/>
      <c r="B9" s="706"/>
      <c r="C9" s="706"/>
      <c r="D9" s="707"/>
      <c r="E9" s="708"/>
      <c r="F9" s="708"/>
      <c r="G9" s="709"/>
      <c r="H9" s="709"/>
      <c r="I9" s="35"/>
    </row>
    <row r="10" spans="1:9" ht="12.75">
      <c r="A10" s="679" t="s">
        <v>1054</v>
      </c>
      <c r="B10" s="710"/>
      <c r="C10" s="710"/>
      <c r="D10" s="710"/>
      <c r="E10" s="710"/>
      <c r="F10" s="679"/>
      <c r="G10" s="709"/>
      <c r="H10" s="709"/>
      <c r="I10" s="35"/>
    </row>
    <row r="11" spans="1:9" ht="12.75">
      <c r="A11" s="711"/>
      <c r="B11" s="711"/>
      <c r="C11" s="711"/>
      <c r="D11" s="711"/>
      <c r="E11" s="711"/>
      <c r="F11" s="711"/>
      <c r="G11" s="709"/>
      <c r="H11" s="709"/>
      <c r="I11" s="35"/>
    </row>
    <row r="12" spans="1:9" ht="12.75">
      <c r="A12" s="712" t="s">
        <v>1055</v>
      </c>
      <c r="B12" s="712"/>
      <c r="C12" s="712"/>
      <c r="D12" s="712"/>
      <c r="E12" s="712"/>
      <c r="F12" s="679"/>
      <c r="G12" s="680"/>
      <c r="H12" s="680"/>
      <c r="I12" s="35"/>
    </row>
    <row r="13" spans="1:9" ht="67.5" customHeight="1">
      <c r="A13" s="713" t="s">
        <v>1043</v>
      </c>
      <c r="B13" s="1407" t="s">
        <v>1044</v>
      </c>
      <c r="C13" s="1407"/>
      <c r="D13" s="1407"/>
      <c r="E13" s="682" t="s">
        <v>1045</v>
      </c>
      <c r="F13" s="683" t="s">
        <v>1046</v>
      </c>
      <c r="G13" s="684" t="s">
        <v>1047</v>
      </c>
      <c r="H13" s="714" t="s">
        <v>1048</v>
      </c>
      <c r="I13" s="686" t="s">
        <v>1049</v>
      </c>
    </row>
    <row r="14" spans="1:9" ht="12.75">
      <c r="A14" s="1408" t="s">
        <v>95</v>
      </c>
      <c r="B14" s="1408"/>
      <c r="C14" s="1408"/>
      <c r="D14" s="1408"/>
      <c r="E14" s="715"/>
      <c r="F14" s="715"/>
      <c r="G14" s="716"/>
      <c r="H14" s="716"/>
      <c r="I14" s="686"/>
    </row>
    <row r="15" spans="1:9" ht="15.75" customHeight="1">
      <c r="A15" s="717" t="s">
        <v>246</v>
      </c>
      <c r="B15" s="1409" t="s">
        <v>1056</v>
      </c>
      <c r="C15" s="1409"/>
      <c r="D15" s="1410"/>
      <c r="E15" s="718">
        <v>0</v>
      </c>
      <c r="F15" s="719">
        <f>E15</f>
        <v>0</v>
      </c>
      <c r="G15" s="720">
        <v>5000000</v>
      </c>
      <c r="H15" s="719">
        <v>0</v>
      </c>
      <c r="I15" s="721">
        <v>0</v>
      </c>
    </row>
    <row r="16" spans="1:9" ht="15.75" customHeight="1">
      <c r="A16" s="722" t="s">
        <v>247</v>
      </c>
      <c r="B16" s="1397" t="s">
        <v>1057</v>
      </c>
      <c r="C16" s="1397"/>
      <c r="D16" s="1398"/>
      <c r="E16" s="723">
        <v>0</v>
      </c>
      <c r="F16" s="695">
        <f aca="true" t="shared" si="0" ref="F16:F21">E16</f>
        <v>0</v>
      </c>
      <c r="G16" s="724">
        <v>4000000</v>
      </c>
      <c r="H16" s="695">
        <v>0</v>
      </c>
      <c r="I16" s="725">
        <v>0</v>
      </c>
    </row>
    <row r="17" spans="1:9" ht="15.75" customHeight="1">
      <c r="A17" s="722" t="s">
        <v>248</v>
      </c>
      <c r="B17" s="1397" t="s">
        <v>1058</v>
      </c>
      <c r="C17" s="1397"/>
      <c r="D17" s="1398"/>
      <c r="E17" s="723">
        <v>0</v>
      </c>
      <c r="F17" s="695">
        <f t="shared" si="0"/>
        <v>0</v>
      </c>
      <c r="G17" s="724">
        <v>6000000</v>
      </c>
      <c r="H17" s="695">
        <v>0</v>
      </c>
      <c r="I17" s="725">
        <v>0</v>
      </c>
    </row>
    <row r="18" spans="1:9" ht="15.75" customHeight="1">
      <c r="A18" s="722" t="s">
        <v>249</v>
      </c>
      <c r="B18" s="1397" t="s">
        <v>1059</v>
      </c>
      <c r="C18" s="1397"/>
      <c r="D18" s="1398"/>
      <c r="E18" s="723">
        <v>0</v>
      </c>
      <c r="F18" s="695">
        <f t="shared" si="0"/>
        <v>0</v>
      </c>
      <c r="G18" s="724">
        <v>0</v>
      </c>
      <c r="H18" s="695">
        <v>0</v>
      </c>
      <c r="I18" s="725">
        <v>0</v>
      </c>
    </row>
    <row r="19" spans="1:9" ht="15.75" customHeight="1">
      <c r="A19" s="722" t="s">
        <v>250</v>
      </c>
      <c r="B19" s="1397" t="s">
        <v>1060</v>
      </c>
      <c r="C19" s="1397"/>
      <c r="D19" s="1398"/>
      <c r="E19" s="723">
        <v>0</v>
      </c>
      <c r="F19" s="695">
        <f t="shared" si="0"/>
        <v>0</v>
      </c>
      <c r="G19" s="724">
        <v>200000</v>
      </c>
      <c r="H19" s="695">
        <v>0</v>
      </c>
      <c r="I19" s="725">
        <v>0</v>
      </c>
    </row>
    <row r="20" spans="1:9" ht="15.75" customHeight="1">
      <c r="A20" s="722" t="s">
        <v>251</v>
      </c>
      <c r="B20" s="1397" t="s">
        <v>1061</v>
      </c>
      <c r="C20" s="1397"/>
      <c r="D20" s="1398"/>
      <c r="E20" s="723">
        <v>0</v>
      </c>
      <c r="F20" s="695">
        <f t="shared" si="0"/>
        <v>0</v>
      </c>
      <c r="G20" s="724">
        <v>800000</v>
      </c>
      <c r="H20" s="695">
        <v>0</v>
      </c>
      <c r="I20" s="725">
        <v>0</v>
      </c>
    </row>
    <row r="21" spans="1:9" ht="15.75" customHeight="1">
      <c r="A21" s="726" t="s">
        <v>252</v>
      </c>
      <c r="B21" s="1399" t="s">
        <v>1062</v>
      </c>
      <c r="C21" s="1399"/>
      <c r="D21" s="1400"/>
      <c r="E21" s="727">
        <v>0</v>
      </c>
      <c r="F21" s="700">
        <f t="shared" si="0"/>
        <v>0</v>
      </c>
      <c r="G21" s="728">
        <v>125000</v>
      </c>
      <c r="H21" s="700">
        <v>0</v>
      </c>
      <c r="I21" s="729">
        <v>0</v>
      </c>
    </row>
    <row r="22" spans="1:9" ht="15.75" customHeight="1">
      <c r="A22" s="1401" t="s">
        <v>1053</v>
      </c>
      <c r="B22" s="1402"/>
      <c r="C22" s="1402"/>
      <c r="D22" s="1403"/>
      <c r="E22" s="730">
        <f>SUM(E15:E21)</f>
        <v>0</v>
      </c>
      <c r="F22" s="731">
        <f>SUM(F15:F21)</f>
        <v>0</v>
      </c>
      <c r="G22" s="731">
        <f>SUM(G15:G21)</f>
        <v>16125000</v>
      </c>
      <c r="H22" s="732">
        <f>SUM(H15:H21)</f>
        <v>0</v>
      </c>
      <c r="I22" s="732">
        <f>SUM(I15:I21)</f>
        <v>0</v>
      </c>
    </row>
    <row r="23" spans="1:9" ht="12.75">
      <c r="A23" s="711"/>
      <c r="B23" s="711"/>
      <c r="C23" s="711"/>
      <c r="D23" s="711"/>
      <c r="E23" s="711"/>
      <c r="F23" s="711"/>
      <c r="G23" s="709"/>
      <c r="H23" s="709"/>
      <c r="I23" s="35"/>
    </row>
    <row r="24" spans="1:11" ht="12.75">
      <c r="A24" s="1404" t="s">
        <v>1063</v>
      </c>
      <c r="B24" s="1404"/>
      <c r="C24" s="1404"/>
      <c r="D24" s="1404"/>
      <c r="E24" s="1404"/>
      <c r="F24" s="1404"/>
      <c r="G24" s="1404"/>
      <c r="H24" s="1404"/>
      <c r="I24" s="1404"/>
      <c r="J24" s="1404"/>
      <c r="K24" s="1404"/>
    </row>
    <row r="25" spans="1:9" ht="66" customHeight="1">
      <c r="A25" s="733" t="s">
        <v>1043</v>
      </c>
      <c r="B25" s="1405" t="s">
        <v>1044</v>
      </c>
      <c r="C25" s="1405"/>
      <c r="D25" s="1406"/>
      <c r="E25" s="682" t="s">
        <v>1045</v>
      </c>
      <c r="F25" s="683" t="s">
        <v>1046</v>
      </c>
      <c r="G25" s="684" t="s">
        <v>1047</v>
      </c>
      <c r="H25" s="685" t="s">
        <v>1048</v>
      </c>
      <c r="I25" s="686" t="s">
        <v>1049</v>
      </c>
    </row>
    <row r="26" spans="1:9" ht="20.25" customHeight="1">
      <c r="A26" s="734" t="s">
        <v>246</v>
      </c>
      <c r="B26" s="1394" t="s">
        <v>1064</v>
      </c>
      <c r="C26" s="1394"/>
      <c r="D26" s="1394"/>
      <c r="E26" s="735">
        <v>0</v>
      </c>
      <c r="F26" s="736">
        <f>E26</f>
        <v>0</v>
      </c>
      <c r="G26" s="737">
        <v>0</v>
      </c>
      <c r="H26" s="735">
        <v>0</v>
      </c>
      <c r="I26" s="735">
        <v>0</v>
      </c>
    </row>
    <row r="27" spans="1:9" ht="20.25" customHeight="1">
      <c r="A27" s="738" t="s">
        <v>247</v>
      </c>
      <c r="B27" s="1395" t="s">
        <v>1065</v>
      </c>
      <c r="C27" s="1395"/>
      <c r="D27" s="1395"/>
      <c r="E27" s="739"/>
      <c r="F27" s="739">
        <f>E27</f>
        <v>0</v>
      </c>
      <c r="G27" s="740">
        <v>5100000</v>
      </c>
      <c r="H27" s="739"/>
      <c r="I27" s="739"/>
    </row>
    <row r="28" spans="1:9" ht="15.75" customHeight="1">
      <c r="A28" s="1396" t="s">
        <v>1053</v>
      </c>
      <c r="B28" s="1396"/>
      <c r="C28" s="1396"/>
      <c r="D28" s="1396"/>
      <c r="E28" s="741">
        <f>SUM(E26:E27)</f>
        <v>0</v>
      </c>
      <c r="F28" s="741">
        <f>SUM(F26:F27)</f>
        <v>0</v>
      </c>
      <c r="G28" s="742">
        <f>SUM(G26:G27)</f>
        <v>5100000</v>
      </c>
      <c r="H28" s="741">
        <f>SUM(H26:H27)</f>
        <v>0</v>
      </c>
      <c r="I28" s="741">
        <f>SUM(I26:I27)</f>
        <v>0</v>
      </c>
    </row>
    <row r="29" spans="1:9" ht="12.75">
      <c r="A29" s="743"/>
      <c r="B29" s="743"/>
      <c r="C29" s="744"/>
      <c r="D29" s="745"/>
      <c r="E29" s="745"/>
      <c r="F29" s="745"/>
      <c r="G29" s="709"/>
      <c r="H29" s="709"/>
      <c r="I29" s="35"/>
    </row>
    <row r="30" spans="1:9" ht="12.75">
      <c r="A30" s="679" t="s">
        <v>1066</v>
      </c>
      <c r="B30" s="679"/>
      <c r="C30" s="679"/>
      <c r="D30" s="679"/>
      <c r="E30" s="679"/>
      <c r="F30" s="679"/>
      <c r="G30" s="746"/>
      <c r="H30" s="746"/>
      <c r="I30" s="35"/>
    </row>
  </sheetData>
  <sheetProtection/>
  <mergeCells count="21">
    <mergeCell ref="A1:I1"/>
    <mergeCell ref="B4:D4"/>
    <mergeCell ref="B5:D5"/>
    <mergeCell ref="B6:D6"/>
    <mergeCell ref="B7:D7"/>
    <mergeCell ref="A8:D8"/>
    <mergeCell ref="B13:D13"/>
    <mergeCell ref="A14:D14"/>
    <mergeCell ref="B15:D15"/>
    <mergeCell ref="B16:D16"/>
    <mergeCell ref="B17:D17"/>
    <mergeCell ref="B18:D18"/>
    <mergeCell ref="B26:D26"/>
    <mergeCell ref="B27:D27"/>
    <mergeCell ref="A28:D28"/>
    <mergeCell ref="B19:D19"/>
    <mergeCell ref="B20:D20"/>
    <mergeCell ref="B21:D21"/>
    <mergeCell ref="A22:D22"/>
    <mergeCell ref="A24:K24"/>
    <mergeCell ref="B25:D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headerFooter>
    <oddHeader>&amp;C2019. évi költségvetés&amp;R&amp;A</oddHeader>
    <oddFooter>&amp;C&amp;P/&amp;N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view="pageBreakPreview" zoomScale="80" zoomScaleSheetLayoutView="80" workbookViewId="0" topLeftCell="A10">
      <selection activeCell="B40" sqref="B40"/>
    </sheetView>
  </sheetViews>
  <sheetFormatPr defaultColWidth="8.875" defaultRowHeight="12.75"/>
  <cols>
    <col min="1" max="1" width="5.125" style="33" customWidth="1"/>
    <col min="2" max="2" width="61.375" style="33" customWidth="1"/>
    <col min="3" max="3" width="7.125" style="33" bestFit="1" customWidth="1"/>
    <col min="4" max="4" width="17.00390625" style="33" customWidth="1"/>
    <col min="5" max="5" width="3.875" style="33" customWidth="1"/>
    <col min="6" max="6" width="68.125" style="33" customWidth="1"/>
    <col min="7" max="7" width="7.125" style="33" bestFit="1" customWidth="1"/>
    <col min="8" max="8" width="17.125" style="33" customWidth="1"/>
    <col min="9" max="9" width="8.875" style="33" customWidth="1"/>
    <col min="10" max="11" width="11.75390625" style="33" bestFit="1" customWidth="1"/>
    <col min="12" max="16384" width="8.875" style="33" customWidth="1"/>
  </cols>
  <sheetData>
    <row r="1" spans="1:9" ht="35.25" customHeight="1">
      <c r="A1" s="1423" t="s">
        <v>1279</v>
      </c>
      <c r="B1" s="1423"/>
      <c r="C1" s="1423"/>
      <c r="D1" s="1423"/>
      <c r="E1" s="1423"/>
      <c r="F1" s="1423"/>
      <c r="G1" s="1423"/>
      <c r="H1" s="1423"/>
      <c r="I1" s="747"/>
    </row>
    <row r="2" spans="1:9" s="748" customFormat="1" ht="3.75" customHeight="1">
      <c r="A2" s="747"/>
      <c r="B2" s="747"/>
      <c r="C2" s="747"/>
      <c r="D2" s="747"/>
      <c r="E2" s="747"/>
      <c r="F2" s="747"/>
      <c r="G2" s="747"/>
      <c r="H2" s="747"/>
      <c r="I2" s="747"/>
    </row>
    <row r="3" spans="1:9" s="748" customFormat="1" ht="12.75">
      <c r="A3" s="749"/>
      <c r="B3" s="749"/>
      <c r="C3" s="749"/>
      <c r="D3" s="749"/>
      <c r="E3" s="749"/>
      <c r="F3" s="750"/>
      <c r="G3" s="750"/>
      <c r="H3" s="751" t="s">
        <v>541</v>
      </c>
      <c r="I3" s="33"/>
    </row>
    <row r="4" spans="1:9" ht="18.75">
      <c r="A4" s="1424" t="s">
        <v>39</v>
      </c>
      <c r="B4" s="1425" t="s">
        <v>1067</v>
      </c>
      <c r="C4" s="1426"/>
      <c r="D4" s="1426"/>
      <c r="E4" s="752"/>
      <c r="F4" s="1425" t="s">
        <v>312</v>
      </c>
      <c r="G4" s="1426"/>
      <c r="H4" s="1426"/>
      <c r="I4" s="748"/>
    </row>
    <row r="5" spans="1:9" ht="36" customHeight="1">
      <c r="A5" s="1424"/>
      <c r="B5" s="677" t="s">
        <v>3</v>
      </c>
      <c r="C5" s="677" t="s">
        <v>57</v>
      </c>
      <c r="D5" s="677" t="s">
        <v>1280</v>
      </c>
      <c r="E5" s="753"/>
      <c r="F5" s="677" t="s">
        <v>3</v>
      </c>
      <c r="G5" s="677" t="s">
        <v>57</v>
      </c>
      <c r="H5" s="677" t="s">
        <v>1280</v>
      </c>
      <c r="I5" s="748"/>
    </row>
    <row r="6" spans="1:8" ht="15.75">
      <c r="A6" s="25" t="s">
        <v>246</v>
      </c>
      <c r="B6" s="754" t="s">
        <v>54</v>
      </c>
      <c r="C6" s="173" t="s">
        <v>267</v>
      </c>
      <c r="D6" s="755">
        <f>+'3. sz.Városi szintű összesen'!G30</f>
        <v>864726144</v>
      </c>
      <c r="E6" s="756"/>
      <c r="F6" s="757" t="s">
        <v>405</v>
      </c>
      <c r="G6" s="170" t="s">
        <v>257</v>
      </c>
      <c r="H6" s="755">
        <f>+'3. sz.Városi szintű összesen'!G8</f>
        <v>1611626505</v>
      </c>
    </row>
    <row r="7" spans="1:8" ht="15.75">
      <c r="A7" s="25" t="s">
        <v>247</v>
      </c>
      <c r="B7" s="754" t="s">
        <v>278</v>
      </c>
      <c r="C7" s="173" t="s">
        <v>268</v>
      </c>
      <c r="D7" s="755">
        <f>+'3. sz.Városi szintű összesen'!G31</f>
        <v>228365963</v>
      </c>
      <c r="E7" s="756"/>
      <c r="F7" s="754" t="s">
        <v>258</v>
      </c>
      <c r="G7" s="170" t="s">
        <v>259</v>
      </c>
      <c r="H7" s="755">
        <f>+'3. sz.Városi szintű összesen'!G9</f>
        <v>349415696</v>
      </c>
    </row>
    <row r="8" spans="1:8" ht="15.75">
      <c r="A8" s="25" t="s">
        <v>248</v>
      </c>
      <c r="B8" s="754" t="s">
        <v>277</v>
      </c>
      <c r="C8" s="173" t="s">
        <v>269</v>
      </c>
      <c r="D8" s="755">
        <f>+'3. sz.Városi szintű összesen'!G32</f>
        <v>3782810779</v>
      </c>
      <c r="E8" s="756"/>
      <c r="F8" s="754" t="s">
        <v>406</v>
      </c>
      <c r="G8" s="170" t="s">
        <v>260</v>
      </c>
      <c r="H8" s="755">
        <f>+'3. sz.Városi szintű összesen'!G10</f>
        <v>2147686458</v>
      </c>
    </row>
    <row r="9" spans="1:8" ht="15.75">
      <c r="A9" s="25" t="s">
        <v>249</v>
      </c>
      <c r="B9" s="758" t="s">
        <v>1068</v>
      </c>
      <c r="C9" s="173" t="s">
        <v>270</v>
      </c>
      <c r="D9" s="755">
        <f>+'3. sz.Városi szintű összesen'!G33</f>
        <v>456627269</v>
      </c>
      <c r="E9" s="756"/>
      <c r="F9" s="758" t="s">
        <v>407</v>
      </c>
      <c r="G9" s="170" t="s">
        <v>261</v>
      </c>
      <c r="H9" s="755">
        <f>+'3. sz.Városi szintű összesen'!G11</f>
        <v>41808938</v>
      </c>
    </row>
    <row r="10" spans="1:8" ht="15.75">
      <c r="A10" s="25" t="s">
        <v>250</v>
      </c>
      <c r="B10" s="754" t="s">
        <v>300</v>
      </c>
      <c r="C10" s="173" t="s">
        <v>271</v>
      </c>
      <c r="D10" s="755">
        <f>+'3. sz.Városi szintű összesen'!G34</f>
        <v>100000000</v>
      </c>
      <c r="E10" s="756"/>
      <c r="F10" s="758" t="s">
        <v>292</v>
      </c>
      <c r="G10" s="170" t="s">
        <v>262</v>
      </c>
      <c r="H10" s="755">
        <f>+'3. sz.Városi szintű összesen'!G12</f>
        <v>1421275709</v>
      </c>
    </row>
    <row r="11" spans="1:8" ht="15.75">
      <c r="A11" s="25" t="s">
        <v>251</v>
      </c>
      <c r="B11" s="754" t="s">
        <v>295</v>
      </c>
      <c r="C11" s="173" t="s">
        <v>272</v>
      </c>
      <c r="D11" s="755">
        <f>+'3. sz.Városi szintű összesen'!G35</f>
        <v>9040000</v>
      </c>
      <c r="E11" s="756"/>
      <c r="F11" s="754" t="s">
        <v>299</v>
      </c>
      <c r="G11" s="170" t="s">
        <v>263</v>
      </c>
      <c r="H11" s="755">
        <f>+'3. sz.Városi szintű összesen'!G16</f>
        <v>1536581532.8976378</v>
      </c>
    </row>
    <row r="12" spans="1:8" ht="15.75">
      <c r="A12" s="25" t="s">
        <v>252</v>
      </c>
      <c r="B12" s="754" t="s">
        <v>296</v>
      </c>
      <c r="C12" s="173" t="s">
        <v>273</v>
      </c>
      <c r="D12" s="755">
        <f>+'3. sz.Városi szintű összesen'!G36</f>
        <v>167845820</v>
      </c>
      <c r="E12" s="756"/>
      <c r="F12" s="758" t="s">
        <v>408</v>
      </c>
      <c r="G12" s="170" t="s">
        <v>264</v>
      </c>
      <c r="H12" s="755">
        <f>+'3. sz.Városi szintű összesen'!G17</f>
        <v>606644854</v>
      </c>
    </row>
    <row r="13" spans="1:8" ht="15.75">
      <c r="A13" s="25" t="s">
        <v>253</v>
      </c>
      <c r="B13" s="173"/>
      <c r="C13" s="173"/>
      <c r="D13" s="755"/>
      <c r="E13" s="756"/>
      <c r="F13" s="758" t="s">
        <v>293</v>
      </c>
      <c r="G13" s="170" t="s">
        <v>265</v>
      </c>
      <c r="H13" s="755">
        <f>+'3. sz.Városi szintű összesen'!G18</f>
        <v>56206500</v>
      </c>
    </row>
    <row r="14" spans="1:8" ht="18" customHeight="1">
      <c r="A14" s="25" t="s">
        <v>254</v>
      </c>
      <c r="B14" s="174" t="s">
        <v>297</v>
      </c>
      <c r="C14" s="173" t="s">
        <v>274</v>
      </c>
      <c r="D14" s="759">
        <f>SUM(D6:D13)</f>
        <v>5609415975</v>
      </c>
      <c r="E14" s="756"/>
      <c r="F14" s="173" t="s">
        <v>294</v>
      </c>
      <c r="G14" s="174" t="s">
        <v>266</v>
      </c>
      <c r="H14" s="759">
        <f>SUM(H6:H13)</f>
        <v>7771246192.897638</v>
      </c>
    </row>
    <row r="15" spans="1:8" ht="15.75">
      <c r="A15" s="25" t="s">
        <v>255</v>
      </c>
      <c r="B15" s="758" t="s">
        <v>1069</v>
      </c>
      <c r="C15" s="173"/>
      <c r="D15" s="755">
        <f>D6+D9+D8+D11</f>
        <v>5113204192</v>
      </c>
      <c r="E15" s="756"/>
      <c r="F15" s="754" t="s">
        <v>1070</v>
      </c>
      <c r="G15" s="758"/>
      <c r="H15" s="755">
        <f>H6+H8+H9+H10+H7</f>
        <v>5571813306</v>
      </c>
    </row>
    <row r="16" spans="1:8" ht="15.75">
      <c r="A16" s="25" t="s">
        <v>256</v>
      </c>
      <c r="B16" s="758" t="s">
        <v>1071</v>
      </c>
      <c r="C16" s="173"/>
      <c r="D16" s="755">
        <f>D7+D10+D12</f>
        <v>496211783</v>
      </c>
      <c r="E16" s="756"/>
      <c r="F16" s="754" t="s">
        <v>1072</v>
      </c>
      <c r="G16" s="173"/>
      <c r="H16" s="755">
        <f>H11+H12+H13</f>
        <v>2199432886.897638</v>
      </c>
    </row>
    <row r="17" spans="1:8" ht="15.75">
      <c r="A17" s="25" t="s">
        <v>283</v>
      </c>
      <c r="B17" s="173" t="s">
        <v>298</v>
      </c>
      <c r="C17" s="174" t="s">
        <v>276</v>
      </c>
      <c r="D17" s="759">
        <f>SUM(D18:D23)</f>
        <v>6076785862</v>
      </c>
      <c r="E17" s="756"/>
      <c r="F17" s="173" t="s">
        <v>279</v>
      </c>
      <c r="G17" s="173" t="s">
        <v>275</v>
      </c>
      <c r="H17" s="759">
        <f>SUM(H18:H22)</f>
        <v>3914955644</v>
      </c>
    </row>
    <row r="18" spans="1:8" ht="15.75">
      <c r="A18" s="25" t="s">
        <v>284</v>
      </c>
      <c r="B18" s="760" t="s">
        <v>713</v>
      </c>
      <c r="C18" s="758"/>
      <c r="D18" s="755">
        <f>+'3. sz.Városi szintű összesen'!G40</f>
        <v>1107813354</v>
      </c>
      <c r="E18" s="756"/>
      <c r="F18" s="760" t="s">
        <v>1073</v>
      </c>
      <c r="G18" s="754"/>
      <c r="H18" s="755">
        <f>+'3. sz.Városi szintű összesen'!G22</f>
        <v>3056266</v>
      </c>
    </row>
    <row r="19" spans="1:8" ht="15.75">
      <c r="A19" s="25" t="s">
        <v>285</v>
      </c>
      <c r="B19" s="754" t="s">
        <v>714</v>
      </c>
      <c r="C19" s="758"/>
      <c r="D19" s="755">
        <f>+'3. sz.Városi szintű összesen'!G41</f>
        <v>1088785652</v>
      </c>
      <c r="E19" s="756"/>
      <c r="F19" s="754" t="s">
        <v>1074</v>
      </c>
      <c r="G19" s="173"/>
      <c r="H19" s="755">
        <f>+'3. sz.Városi szintű összesen'!G23</f>
        <v>2316822077</v>
      </c>
    </row>
    <row r="20" spans="1:8" ht="15.75">
      <c r="A20" s="25" t="s">
        <v>286</v>
      </c>
      <c r="B20" s="754" t="s">
        <v>715</v>
      </c>
      <c r="C20" s="754"/>
      <c r="D20" s="755">
        <f>+'3. sz.Városi szintű összesen'!G42</f>
        <v>2316822077</v>
      </c>
      <c r="E20" s="756"/>
      <c r="F20" s="754" t="s">
        <v>1075</v>
      </c>
      <c r="G20" s="761"/>
      <c r="H20" s="755">
        <f>+'3. sz.Városi szintű összesen'!G24</f>
        <v>63364779</v>
      </c>
    </row>
    <row r="21" spans="1:8" ht="15.75">
      <c r="A21" s="25" t="s">
        <v>287</v>
      </c>
      <c r="B21" s="754" t="s">
        <v>716</v>
      </c>
      <c r="C21" s="754"/>
      <c r="D21" s="755">
        <f>+'3. sz.Városi szintű összesen'!G43</f>
        <v>63364779</v>
      </c>
      <c r="E21" s="756"/>
      <c r="F21" s="754" t="s">
        <v>160</v>
      </c>
      <c r="G21" s="762"/>
      <c r="H21" s="755">
        <f>+'3. sz.Városi szintű összesen'!G25</f>
        <v>31712522</v>
      </c>
    </row>
    <row r="22" spans="1:8" ht="15.75">
      <c r="A22" s="25" t="s">
        <v>288</v>
      </c>
      <c r="B22" s="760" t="s">
        <v>1076</v>
      </c>
      <c r="C22" s="754"/>
      <c r="D22" s="755">
        <f>+'3. sz.Városi szintű összesen'!G44</f>
        <v>0</v>
      </c>
      <c r="E22" s="756"/>
      <c r="F22" s="760" t="s">
        <v>1410</v>
      </c>
      <c r="G22" s="762"/>
      <c r="H22" s="755">
        <v>1500000000</v>
      </c>
    </row>
    <row r="23" spans="1:8" ht="15.75">
      <c r="A23" s="25" t="s">
        <v>289</v>
      </c>
      <c r="B23" s="760" t="s">
        <v>1411</v>
      </c>
      <c r="C23" s="754"/>
      <c r="D23" s="755">
        <v>1500000000</v>
      </c>
      <c r="E23" s="756"/>
      <c r="F23" s="173"/>
      <c r="G23" s="762"/>
      <c r="H23" s="755"/>
    </row>
    <row r="24" spans="1:8" ht="31.5">
      <c r="A24" s="25" t="s">
        <v>290</v>
      </c>
      <c r="B24" s="173" t="s">
        <v>145</v>
      </c>
      <c r="C24" s="754"/>
      <c r="D24" s="755">
        <f>+D6+D8+D9+D11+D18+D20+D23</f>
        <v>10037839623</v>
      </c>
      <c r="E24" s="756"/>
      <c r="F24" s="173" t="s">
        <v>33</v>
      </c>
      <c r="G24" s="762"/>
      <c r="H24" s="755">
        <f>+H6+H7+H8+H9+H10+H18+H19+H22</f>
        <v>9391691649</v>
      </c>
    </row>
    <row r="25" spans="1:8" ht="31.5">
      <c r="A25" s="25" t="s">
        <v>291</v>
      </c>
      <c r="B25" s="173" t="s">
        <v>146</v>
      </c>
      <c r="C25" s="754"/>
      <c r="D25" s="755">
        <f>+D7+D10+D12+D19+D21</f>
        <v>1648362214</v>
      </c>
      <c r="E25" s="756"/>
      <c r="F25" s="173" t="s">
        <v>34</v>
      </c>
      <c r="G25" s="762"/>
      <c r="H25" s="755">
        <f>+H11+H12+H13+H20+H21</f>
        <v>2294510187.897638</v>
      </c>
    </row>
    <row r="26" spans="1:8" ht="18.75" customHeight="1">
      <c r="A26" s="25" t="s">
        <v>322</v>
      </c>
      <c r="B26" s="763" t="s">
        <v>399</v>
      </c>
      <c r="C26" s="764" t="s">
        <v>1077</v>
      </c>
      <c r="D26" s="765">
        <f>+D24+D25</f>
        <v>11686201837</v>
      </c>
      <c r="E26" s="766"/>
      <c r="F26" s="764" t="s">
        <v>398</v>
      </c>
      <c r="G26" s="764" t="s">
        <v>32</v>
      </c>
      <c r="H26" s="765">
        <f>SUM(H24:H25)</f>
        <v>11686201836.897638</v>
      </c>
    </row>
    <row r="28" spans="2:6" ht="20.25" customHeight="1">
      <c r="B28" s="767" t="s">
        <v>1078</v>
      </c>
      <c r="F28" s="768"/>
    </row>
    <row r="29" spans="2:8" ht="19.5" customHeight="1">
      <c r="B29" s="1422" t="s">
        <v>1079</v>
      </c>
      <c r="C29" s="1422"/>
      <c r="D29" s="770">
        <f>+D15</f>
        <v>5113204192</v>
      </c>
      <c r="E29" s="769"/>
      <c r="F29" s="1422"/>
      <c r="G29" s="1422"/>
      <c r="H29" s="771"/>
    </row>
    <row r="30" spans="2:8" ht="19.5" customHeight="1">
      <c r="B30" s="1422" t="s">
        <v>1080</v>
      </c>
      <c r="C30" s="1422"/>
      <c r="D30" s="770">
        <f>+H15</f>
        <v>5571813306</v>
      </c>
      <c r="E30" s="769"/>
      <c r="F30" s="1422"/>
      <c r="G30" s="1422"/>
      <c r="H30" s="771"/>
    </row>
    <row r="31" spans="2:8" ht="19.5" customHeight="1">
      <c r="B31" s="1422" t="s">
        <v>1081</v>
      </c>
      <c r="C31" s="1422"/>
      <c r="D31" s="772">
        <f>+D29-D30</f>
        <v>-458609114</v>
      </c>
      <c r="E31" s="769"/>
      <c r="F31" s="1422"/>
      <c r="G31" s="1422"/>
      <c r="H31" s="773"/>
    </row>
    <row r="32" spans="2:8" ht="15.75">
      <c r="B32" s="769"/>
      <c r="C32" s="769"/>
      <c r="D32" s="774"/>
      <c r="E32" s="769"/>
      <c r="F32" s="769"/>
      <c r="G32" s="769"/>
      <c r="H32" s="775"/>
    </row>
    <row r="33" spans="2:8" ht="20.25" customHeight="1">
      <c r="B33" s="1422" t="s">
        <v>1082</v>
      </c>
      <c r="C33" s="1422"/>
      <c r="D33" s="770">
        <f>+D16</f>
        <v>496211783</v>
      </c>
      <c r="E33" s="769"/>
      <c r="F33" s="1422"/>
      <c r="G33" s="1422"/>
      <c r="H33" s="771"/>
    </row>
    <row r="34" spans="2:8" ht="20.25" customHeight="1">
      <c r="B34" s="1422" t="s">
        <v>1083</v>
      </c>
      <c r="C34" s="1422"/>
      <c r="D34" s="770">
        <f>+H16</f>
        <v>2199432886.897638</v>
      </c>
      <c r="E34" s="769"/>
      <c r="F34" s="1422"/>
      <c r="G34" s="1422"/>
      <c r="H34" s="771"/>
    </row>
    <row r="35" spans="2:11" ht="20.25" customHeight="1">
      <c r="B35" s="1422" t="s">
        <v>1084</v>
      </c>
      <c r="C35" s="1422"/>
      <c r="D35" s="772">
        <f>+D33-D34</f>
        <v>-1703221103.8976378</v>
      </c>
      <c r="E35" s="769"/>
      <c r="F35" s="1422"/>
      <c r="G35" s="1422"/>
      <c r="H35" s="773"/>
      <c r="J35" s="776"/>
      <c r="K35" s="776"/>
    </row>
    <row r="36" spans="2:8" ht="15.75">
      <c r="B36" s="769"/>
      <c r="C36" s="769"/>
      <c r="D36" s="774"/>
      <c r="E36" s="769"/>
      <c r="F36" s="769"/>
      <c r="G36" s="769"/>
      <c r="H36" s="775"/>
    </row>
    <row r="37" spans="2:8" ht="32.25" customHeight="1">
      <c r="B37" s="1421" t="s">
        <v>1085</v>
      </c>
      <c r="C37" s="1421"/>
      <c r="D37" s="778">
        <f>+D31+D35</f>
        <v>-2161830217.897638</v>
      </c>
      <c r="E37" s="777"/>
      <c r="F37" s="1421"/>
      <c r="G37" s="1421"/>
      <c r="H37" s="779"/>
    </row>
    <row r="38" spans="2:8" ht="39" customHeight="1">
      <c r="B38" s="1421" t="s">
        <v>1086</v>
      </c>
      <c r="C38" s="1421"/>
      <c r="D38" s="778">
        <f>+D17-H17</f>
        <v>2161830218</v>
      </c>
      <c r="E38" s="777"/>
      <c r="F38" s="1421"/>
      <c r="G38" s="1421"/>
      <c r="H38" s="779"/>
    </row>
    <row r="39" spans="2:8" ht="36" customHeight="1">
      <c r="B39" s="1421" t="s">
        <v>1480</v>
      </c>
      <c r="C39" s="1421"/>
      <c r="D39" s="780">
        <f>+D37+D38</f>
        <v>0.10236215591430664</v>
      </c>
      <c r="E39" s="781"/>
      <c r="F39" s="1421"/>
      <c r="G39" s="1421"/>
      <c r="H39" s="782"/>
    </row>
  </sheetData>
  <sheetProtection/>
  <mergeCells count="22">
    <mergeCell ref="A1:H1"/>
    <mergeCell ref="A4:A5"/>
    <mergeCell ref="B4:D4"/>
    <mergeCell ref="F4:H4"/>
    <mergeCell ref="B29:C29"/>
    <mergeCell ref="F29:G29"/>
    <mergeCell ref="B30:C30"/>
    <mergeCell ref="F30:G30"/>
    <mergeCell ref="B31:C31"/>
    <mergeCell ref="F31:G31"/>
    <mergeCell ref="B33:C33"/>
    <mergeCell ref="F33:G33"/>
    <mergeCell ref="B38:C38"/>
    <mergeCell ref="F38:G38"/>
    <mergeCell ref="B39:C39"/>
    <mergeCell ref="F39:G39"/>
    <mergeCell ref="B34:C34"/>
    <mergeCell ref="F34:G34"/>
    <mergeCell ref="B35:C35"/>
    <mergeCell ref="F35:G35"/>
    <mergeCell ref="B37:C37"/>
    <mergeCell ref="F37:G3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Header>&amp;C2019. évi költségvetés&amp;R&amp;A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AX82"/>
  <sheetViews>
    <sheetView view="pageBreakPreview" zoomScaleSheetLayoutView="100" workbookViewId="0" topLeftCell="A16">
      <selection activeCell="E46" sqref="E46"/>
    </sheetView>
  </sheetViews>
  <sheetFormatPr defaultColWidth="9.00390625" defaultRowHeight="12.75"/>
  <cols>
    <col min="1" max="1" width="10.00390625" style="0" customWidth="1"/>
    <col min="2" max="2" width="71.75390625" style="0" customWidth="1"/>
    <col min="3" max="3" width="10.375" style="0" customWidth="1"/>
    <col min="4" max="4" width="20.75390625" style="0" customWidth="1"/>
    <col min="5" max="5" width="20.25390625" style="945" customWidth="1"/>
    <col min="6" max="6" width="14.75390625" style="945" customWidth="1"/>
    <col min="7" max="7" width="18.875" style="945" customWidth="1"/>
    <col min="8" max="9" width="18.625" style="945" customWidth="1"/>
    <col min="10" max="10" width="10.25390625" style="0" bestFit="1" customWidth="1"/>
    <col min="11" max="11" width="15.625" style="0" bestFit="1" customWidth="1"/>
    <col min="12" max="12" width="14.25390625" style="0" bestFit="1" customWidth="1"/>
    <col min="15" max="15" width="13.125" style="0" bestFit="1" customWidth="1"/>
  </cols>
  <sheetData>
    <row r="1" spans="1:9" ht="12" customHeight="1">
      <c r="A1" s="1423" t="s">
        <v>1310</v>
      </c>
      <c r="B1" s="1423"/>
      <c r="C1" s="1423"/>
      <c r="D1" s="1423"/>
      <c r="E1" s="1423"/>
      <c r="F1" s="1423"/>
      <c r="G1" s="1423"/>
      <c r="H1" s="1423"/>
      <c r="I1" s="1423"/>
    </row>
    <row r="2" spans="1:9" ht="23.25" customHeight="1">
      <c r="A2" s="1431"/>
      <c r="B2" s="1431"/>
      <c r="C2" s="1431"/>
      <c r="D2" s="1431"/>
      <c r="E2" s="1431"/>
      <c r="F2" s="1431"/>
      <c r="G2" s="1431"/>
      <c r="H2" s="1431"/>
      <c r="I2" s="1431"/>
    </row>
    <row r="3" spans="1:10" s="212" customFormat="1" ht="36" customHeight="1">
      <c r="A3" s="783" t="s">
        <v>55</v>
      </c>
      <c r="B3" s="783" t="s">
        <v>1087</v>
      </c>
      <c r="C3" s="783" t="s">
        <v>1088</v>
      </c>
      <c r="D3" s="783" t="s">
        <v>1311</v>
      </c>
      <c r="E3" s="957" t="s">
        <v>1313</v>
      </c>
      <c r="F3" s="957" t="s">
        <v>1312</v>
      </c>
      <c r="G3" s="957" t="s">
        <v>1090</v>
      </c>
      <c r="H3" s="957" t="s">
        <v>1155</v>
      </c>
      <c r="I3" s="957" t="s">
        <v>1156</v>
      </c>
      <c r="J3" s="17"/>
    </row>
    <row r="4" spans="1:9" s="787" customFormat="1" ht="15" customHeight="1">
      <c r="A4" s="784" t="s">
        <v>246</v>
      </c>
      <c r="B4" s="757" t="s">
        <v>405</v>
      </c>
      <c r="C4" s="785" t="s">
        <v>257</v>
      </c>
      <c r="D4" s="786">
        <v>1353739339</v>
      </c>
      <c r="E4" s="958">
        <f>+'3. sz.Városi szintű összesen'!G8</f>
        <v>1611626505</v>
      </c>
      <c r="F4" s="959">
        <f aca="true" t="shared" si="0" ref="F4:F12">E4/D4</f>
        <v>1.190499868453627</v>
      </c>
      <c r="G4" s="960">
        <f>E4*1.001</f>
        <v>1613238131.5049999</v>
      </c>
      <c r="H4" s="960">
        <f aca="true" t="shared" si="1" ref="H4:I6">+G4*1.005</f>
        <v>1621304322.1625247</v>
      </c>
      <c r="I4" s="960">
        <f t="shared" si="1"/>
        <v>1629410843.7733371</v>
      </c>
    </row>
    <row r="5" spans="1:9" s="787" customFormat="1" ht="15.75">
      <c r="A5" s="784" t="s">
        <v>247</v>
      </c>
      <c r="B5" s="754" t="s">
        <v>258</v>
      </c>
      <c r="C5" s="785" t="s">
        <v>259</v>
      </c>
      <c r="D5" s="786">
        <v>306086304</v>
      </c>
      <c r="E5" s="958">
        <f>+'3. sz.Városi szintű összesen'!G9</f>
        <v>349415696</v>
      </c>
      <c r="F5" s="959">
        <f t="shared" si="0"/>
        <v>1.1415593949607101</v>
      </c>
      <c r="G5" s="960">
        <f>E5*1.001</f>
        <v>349765111.696</v>
      </c>
      <c r="H5" s="960">
        <f t="shared" si="1"/>
        <v>351513937.25447994</v>
      </c>
      <c r="I5" s="960">
        <f t="shared" si="1"/>
        <v>353271506.9407523</v>
      </c>
    </row>
    <row r="6" spans="1:9" s="787" customFormat="1" ht="15.75">
      <c r="A6" s="784" t="s">
        <v>248</v>
      </c>
      <c r="B6" s="754" t="s">
        <v>406</v>
      </c>
      <c r="C6" s="785" t="s">
        <v>260</v>
      </c>
      <c r="D6" s="786">
        <v>1812120071</v>
      </c>
      <c r="E6" s="958">
        <f>+'3. sz.Városi szintű összesen'!G10</f>
        <v>2147686458</v>
      </c>
      <c r="F6" s="959">
        <f t="shared" si="0"/>
        <v>1.1851788920448418</v>
      </c>
      <c r="G6" s="960">
        <f>E6*1.001</f>
        <v>2149834144.4579997</v>
      </c>
      <c r="H6" s="960">
        <f t="shared" si="1"/>
        <v>2160583315.1802893</v>
      </c>
      <c r="I6" s="960">
        <f t="shared" si="1"/>
        <v>2171386231.7561903</v>
      </c>
    </row>
    <row r="7" spans="1:9" s="787" customFormat="1" ht="15.75">
      <c r="A7" s="784" t="s">
        <v>249</v>
      </c>
      <c r="B7" s="758" t="s">
        <v>407</v>
      </c>
      <c r="C7" s="785" t="s">
        <v>261</v>
      </c>
      <c r="D7" s="786">
        <v>41817176</v>
      </c>
      <c r="E7" s="958">
        <f>+'3. sz.Városi szintű összesen'!G11</f>
        <v>41808938</v>
      </c>
      <c r="F7" s="959">
        <f t="shared" si="0"/>
        <v>0.9998029996095384</v>
      </c>
      <c r="G7" s="960">
        <v>42000000</v>
      </c>
      <c r="H7" s="960">
        <f>+G7</f>
        <v>42000000</v>
      </c>
      <c r="I7" s="960">
        <f>+H7</f>
        <v>42000000</v>
      </c>
    </row>
    <row r="8" spans="1:9" s="787" customFormat="1" ht="15.75">
      <c r="A8" s="784" t="s">
        <v>250</v>
      </c>
      <c r="B8" s="758" t="s">
        <v>292</v>
      </c>
      <c r="C8" s="785" t="s">
        <v>262</v>
      </c>
      <c r="D8" s="786">
        <f>SUM(D9:D11)</f>
        <v>1053779511</v>
      </c>
      <c r="E8" s="958">
        <f>+'3. sz.Városi szintű összesen'!G12</f>
        <v>1421275709</v>
      </c>
      <c r="F8" s="959">
        <f t="shared" si="0"/>
        <v>1.348741073596372</v>
      </c>
      <c r="G8" s="960">
        <f>SUM(G9:G10)</f>
        <v>658646468</v>
      </c>
      <c r="H8" s="960">
        <f>+H9+H10</f>
        <v>661939700.3399999</v>
      </c>
      <c r="I8" s="960">
        <f>+I9+I10</f>
        <v>665249398.8416998</v>
      </c>
    </row>
    <row r="9" spans="1:9" s="792" customFormat="1" ht="15.75">
      <c r="A9" s="788"/>
      <c r="B9" s="789" t="s">
        <v>159</v>
      </c>
      <c r="C9" s="790"/>
      <c r="D9" s="791">
        <v>181031560</v>
      </c>
      <c r="E9" s="961">
        <f>+'3. sz.Városi szintű összesen'!G13</f>
        <v>247261368</v>
      </c>
      <c r="F9" s="962">
        <f t="shared" si="0"/>
        <v>1.3658467506991598</v>
      </c>
      <c r="G9" s="963">
        <f>+E9</f>
        <v>247261368</v>
      </c>
      <c r="H9" s="963">
        <f>G9*1.005</f>
        <v>248497674.83999997</v>
      </c>
      <c r="I9" s="963">
        <f>H9*1.005</f>
        <v>249740163.21419996</v>
      </c>
    </row>
    <row r="10" spans="1:9" s="792" customFormat="1" ht="15.75">
      <c r="A10" s="788"/>
      <c r="B10" s="789" t="s">
        <v>148</v>
      </c>
      <c r="C10" s="790"/>
      <c r="D10" s="791">
        <v>545500284</v>
      </c>
      <c r="E10" s="961">
        <f>+'3. sz.Városi szintű összesen'!G14</f>
        <v>818887716</v>
      </c>
      <c r="F10" s="962">
        <f t="shared" si="0"/>
        <v>1.501168267036136</v>
      </c>
      <c r="G10" s="963">
        <f>320000000+91385100</f>
        <v>411385100</v>
      </c>
      <c r="H10" s="963">
        <f>G10*1.005</f>
        <v>413442025.49999994</v>
      </c>
      <c r="I10" s="963">
        <f>H10*1.005</f>
        <v>415509235.6274999</v>
      </c>
    </row>
    <row r="11" spans="1:9" s="792" customFormat="1" ht="15.75">
      <c r="A11" s="788"/>
      <c r="B11" s="789" t="s">
        <v>738</v>
      </c>
      <c r="C11" s="790"/>
      <c r="D11" s="791">
        <v>327247667</v>
      </c>
      <c r="E11" s="961">
        <f>+'3. sz.Városi szintű összesen'!G15</f>
        <v>355126625</v>
      </c>
      <c r="F11" s="962">
        <f t="shared" si="0"/>
        <v>1.0851922284292403</v>
      </c>
      <c r="G11" s="963">
        <v>350000000</v>
      </c>
      <c r="H11" s="963">
        <v>375000000</v>
      </c>
      <c r="I11" s="963">
        <v>400000000</v>
      </c>
    </row>
    <row r="12" spans="1:9" s="787" customFormat="1" ht="15.75">
      <c r="A12" s="784" t="s">
        <v>251</v>
      </c>
      <c r="B12" s="793" t="s">
        <v>299</v>
      </c>
      <c r="C12" s="785" t="s">
        <v>263</v>
      </c>
      <c r="D12" s="786">
        <v>1398754528</v>
      </c>
      <c r="E12" s="958">
        <f>+'3. sz.Városi szintű összesen'!G16</f>
        <v>1536581532.8976378</v>
      </c>
      <c r="F12" s="959">
        <f t="shared" si="0"/>
        <v>1.0985355200920843</v>
      </c>
      <c r="G12" s="960">
        <v>1500000000</v>
      </c>
      <c r="H12" s="960">
        <f>300500000+30000000+94313931+200000000+25741245+861362710</f>
        <v>1511917886</v>
      </c>
      <c r="I12" s="960">
        <f>H12+629790-25741245+17268</f>
        <v>1486823699</v>
      </c>
    </row>
    <row r="13" spans="1:50" s="787" customFormat="1" ht="15.75">
      <c r="A13" s="784" t="s">
        <v>252</v>
      </c>
      <c r="B13" s="758" t="s">
        <v>408</v>
      </c>
      <c r="C13" s="785" t="s">
        <v>264</v>
      </c>
      <c r="D13" s="786">
        <v>265425183</v>
      </c>
      <c r="E13" s="958">
        <f>+'3. sz.Városi szintű összesen'!G17</f>
        <v>606644854</v>
      </c>
      <c r="F13" s="959">
        <f aca="true" t="shared" si="2" ref="F13:F19">E13/D13</f>
        <v>2.2855587670443462</v>
      </c>
      <c r="G13" s="960">
        <v>100000000</v>
      </c>
      <c r="H13" s="960">
        <f>115000000+50000000-20000000-65348117</f>
        <v>79651883</v>
      </c>
      <c r="I13" s="960">
        <f>115000000+40000000-15000000-53321400+14970793</f>
        <v>101649393</v>
      </c>
      <c r="M13" s="1432"/>
      <c r="N13" s="1432"/>
      <c r="O13" s="1432"/>
      <c r="P13" s="1432"/>
      <c r="Q13" s="1432"/>
      <c r="R13" s="1432"/>
      <c r="S13" s="1432"/>
      <c r="T13" s="1432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432"/>
      <c r="AL13" s="1432"/>
      <c r="AM13" s="1432"/>
      <c r="AN13" s="1432"/>
      <c r="AO13" s="1432"/>
      <c r="AP13" s="1432"/>
      <c r="AQ13" s="1432"/>
      <c r="AR13" s="1432"/>
      <c r="AS13" s="1432"/>
      <c r="AT13" s="1432"/>
      <c r="AU13" s="1432"/>
      <c r="AV13" s="1432"/>
      <c r="AW13" s="1432"/>
      <c r="AX13" s="1432"/>
    </row>
    <row r="14" spans="1:50" s="787" customFormat="1" ht="15.75">
      <c r="A14" s="784" t="s">
        <v>253</v>
      </c>
      <c r="B14" s="758" t="s">
        <v>1091</v>
      </c>
      <c r="C14" s="785" t="s">
        <v>265</v>
      </c>
      <c r="D14" s="786">
        <v>10563300</v>
      </c>
      <c r="E14" s="958">
        <f>+'3. sz.Városi szintű összesen'!G18</f>
        <v>56206500</v>
      </c>
      <c r="F14" s="959">
        <f t="shared" si="2"/>
        <v>5.320922439010537</v>
      </c>
      <c r="G14" s="960">
        <f>+G15</f>
        <v>11500000</v>
      </c>
      <c r="H14" s="960">
        <v>11500000</v>
      </c>
      <c r="I14" s="960">
        <v>11500000</v>
      </c>
      <c r="M14" s="1432"/>
      <c r="N14" s="1432"/>
      <c r="O14" s="1432"/>
      <c r="P14" s="1432"/>
      <c r="Q14" s="1432"/>
      <c r="R14" s="1432"/>
      <c r="S14" s="1432"/>
      <c r="T14" s="1432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432"/>
      <c r="AL14" s="1432"/>
      <c r="AM14" s="1432"/>
      <c r="AN14" s="1432"/>
      <c r="AO14" s="1432"/>
      <c r="AP14" s="1432"/>
      <c r="AQ14" s="1432"/>
      <c r="AR14" s="1432"/>
      <c r="AS14" s="1432"/>
      <c r="AT14" s="1432"/>
      <c r="AU14" s="1432"/>
      <c r="AV14" s="1432"/>
      <c r="AW14" s="1432"/>
      <c r="AX14" s="1432"/>
    </row>
    <row r="15" spans="1:50" s="787" customFormat="1" ht="15.75">
      <c r="A15" s="784"/>
      <c r="B15" s="789" t="s">
        <v>158</v>
      </c>
      <c r="C15" s="785"/>
      <c r="D15" s="786">
        <v>10563300</v>
      </c>
      <c r="E15" s="961">
        <f>+'3. sz.Városi szintű összesen'!G19</f>
        <v>56206500</v>
      </c>
      <c r="F15" s="959">
        <f t="shared" si="2"/>
        <v>5.320922439010537</v>
      </c>
      <c r="G15" s="960">
        <v>11500000</v>
      </c>
      <c r="H15" s="960">
        <v>11500000</v>
      </c>
      <c r="I15" s="960">
        <v>11500000</v>
      </c>
      <c r="M15" s="1433"/>
      <c r="N15" s="1433"/>
      <c r="O15" s="1433"/>
      <c r="P15" s="1433"/>
      <c r="Q15" s="1433"/>
      <c r="R15" s="1433"/>
      <c r="S15" s="1433"/>
      <c r="T15" s="1433"/>
      <c r="U15" s="1433"/>
      <c r="V15" s="1433"/>
      <c r="W15" s="1433"/>
      <c r="X15" s="1433"/>
      <c r="Y15" s="1433"/>
      <c r="Z15" s="1433"/>
      <c r="AA15" s="1433"/>
      <c r="AB15" s="1433"/>
      <c r="AC15" s="1433"/>
      <c r="AD15" s="1433"/>
      <c r="AE15" s="1433"/>
      <c r="AF15" s="1433"/>
      <c r="AG15" s="1433"/>
      <c r="AH15" s="1433"/>
      <c r="AI15" s="1433"/>
      <c r="AJ15" s="1433"/>
      <c r="AK15" s="1433"/>
      <c r="AL15" s="1433"/>
      <c r="AM15" s="1433"/>
      <c r="AN15" s="1433"/>
      <c r="AO15" s="1433"/>
      <c r="AP15" s="1433"/>
      <c r="AQ15" s="1433"/>
      <c r="AR15" s="1433"/>
      <c r="AS15" s="1433"/>
      <c r="AT15" s="794"/>
      <c r="AU15" s="794"/>
      <c r="AV15" s="794"/>
      <c r="AW15" s="794"/>
      <c r="AX15" s="795"/>
    </row>
    <row r="16" spans="1:9" s="212" customFormat="1" ht="15.75">
      <c r="A16" s="784" t="s">
        <v>254</v>
      </c>
      <c r="B16" s="176" t="s">
        <v>294</v>
      </c>
      <c r="C16" s="1" t="s">
        <v>266</v>
      </c>
      <c r="D16" s="796">
        <f>+D4+D5+D6+D7+D12+D13+D14+D8</f>
        <v>6242285412</v>
      </c>
      <c r="E16" s="964">
        <f>+'[3]3. sz.Városi szintű összesen'!J20</f>
        <v>4493528544</v>
      </c>
      <c r="F16" s="965">
        <f t="shared" si="2"/>
        <v>0.7198531062616527</v>
      </c>
      <c r="G16" s="966">
        <f>+G4+G5+G6+G7+G8+G12+G13+G14</f>
        <v>6424983855.658999</v>
      </c>
      <c r="H16" s="966">
        <f>+H4+H5+H6+H7+H8+H12+H13+H14</f>
        <v>6440411043.937294</v>
      </c>
      <c r="I16" s="966">
        <f>+I4+I5+I6+I7+I8+I12+I13+I14</f>
        <v>6461291073.311979</v>
      </c>
    </row>
    <row r="17" spans="1:9" s="792" customFormat="1" ht="15.75">
      <c r="A17" s="788"/>
      <c r="B17" s="797" t="s">
        <v>1092</v>
      </c>
      <c r="C17" s="790"/>
      <c r="D17" s="791">
        <f>+D4+D5+D6+D7+D8</f>
        <v>4567542401</v>
      </c>
      <c r="E17" s="961">
        <f>+E4+E5+E6+E8+E7</f>
        <v>5571813306</v>
      </c>
      <c r="F17" s="962">
        <f t="shared" si="2"/>
        <v>1.2198711729047396</v>
      </c>
      <c r="G17" s="963">
        <f>+G4+G5+G6+G7+G8</f>
        <v>4813483855.658999</v>
      </c>
      <c r="H17" s="963">
        <f>+H4+H5+H6+H7+H8</f>
        <v>4837341274.937294</v>
      </c>
      <c r="I17" s="963">
        <f>+I4+I5+I6+I7+I8</f>
        <v>4861317981.311979</v>
      </c>
    </row>
    <row r="18" spans="1:10" s="792" customFormat="1" ht="15.75">
      <c r="A18" s="788"/>
      <c r="B18" s="797" t="s">
        <v>1093</v>
      </c>
      <c r="C18" s="790"/>
      <c r="D18" s="791">
        <f>+D12+D13+D14</f>
        <v>1674743011</v>
      </c>
      <c r="E18" s="961">
        <f>+E12+E13+E14</f>
        <v>2199432886.897638</v>
      </c>
      <c r="F18" s="962">
        <f t="shared" si="2"/>
        <v>1.313295754901728</v>
      </c>
      <c r="G18" s="963">
        <f>+G12+G13+G14</f>
        <v>1611500000</v>
      </c>
      <c r="H18" s="963">
        <f>+H12+H13+H14</f>
        <v>1603069769</v>
      </c>
      <c r="I18" s="963">
        <f>+I12+I13+I14</f>
        <v>1599973092</v>
      </c>
      <c r="J18" s="798"/>
    </row>
    <row r="19" spans="1:9" s="212" customFormat="1" ht="15.75">
      <c r="A19" s="10" t="s">
        <v>255</v>
      </c>
      <c r="B19" s="176" t="s">
        <v>279</v>
      </c>
      <c r="C19" s="1" t="s">
        <v>275</v>
      </c>
      <c r="D19" s="796">
        <f>SUM(D20:D23)</f>
        <v>2036955798</v>
      </c>
      <c r="E19" s="964">
        <f>SUM(E20:E24)</f>
        <v>3914955644</v>
      </c>
      <c r="F19" s="965">
        <f t="shared" si="2"/>
        <v>1.921963965955436</v>
      </c>
      <c r="G19" s="966">
        <f>SUM(G20:G23)</f>
        <v>2419826203.6099997</v>
      </c>
      <c r="H19" s="966">
        <f>SUM(H20:H23)</f>
        <v>2432216726.2980494</v>
      </c>
      <c r="I19" s="966">
        <f>SUM(I20:I23)</f>
        <v>2447906401.9695396</v>
      </c>
    </row>
    <row r="20" spans="1:9" s="792" customFormat="1" ht="15.75">
      <c r="A20" s="788"/>
      <c r="B20" s="799" t="s">
        <v>1073</v>
      </c>
      <c r="C20" s="790"/>
      <c r="D20" s="791">
        <v>16783921</v>
      </c>
      <c r="E20" s="961">
        <f>+'3. sz.Városi szintű összesen'!G22</f>
        <v>3056266</v>
      </c>
      <c r="F20" s="962">
        <v>0</v>
      </c>
      <c r="G20" s="963">
        <f>E20*1.005</f>
        <v>3071547.3299999996</v>
      </c>
      <c r="H20" s="963">
        <f aca="true" t="shared" si="3" ref="H20:I22">G20*1.005</f>
        <v>3086905.0666499995</v>
      </c>
      <c r="I20" s="963">
        <f t="shared" si="3"/>
        <v>3102339.591983249</v>
      </c>
    </row>
    <row r="21" spans="1:9" s="792" customFormat="1" ht="15.75">
      <c r="A21" s="788"/>
      <c r="B21" s="797" t="s">
        <v>1094</v>
      </c>
      <c r="C21" s="790"/>
      <c r="D21" s="800">
        <v>1985648514</v>
      </c>
      <c r="E21" s="961">
        <f>+'3. sz.Városi szintű összesen'!G23</f>
        <v>2316822077</v>
      </c>
      <c r="F21" s="962">
        <f>E21/D21</f>
        <v>1.1667835775894022</v>
      </c>
      <c r="G21" s="963">
        <f>E21*1.005</f>
        <v>2328406187.3849998</v>
      </c>
      <c r="H21" s="963">
        <f t="shared" si="3"/>
        <v>2340048218.3219247</v>
      </c>
      <c r="I21" s="963">
        <f t="shared" si="3"/>
        <v>2351748459.413534</v>
      </c>
    </row>
    <row r="22" spans="1:9" s="792" customFormat="1" ht="15.75">
      <c r="A22" s="788"/>
      <c r="B22" s="797" t="s">
        <v>1095</v>
      </c>
      <c r="C22" s="790"/>
      <c r="D22" s="791">
        <v>6326599</v>
      </c>
      <c r="E22" s="961">
        <f>+'3. sz.Városi szintű összesen'!G24</f>
        <v>63364779</v>
      </c>
      <c r="F22" s="962">
        <f>E22/D22</f>
        <v>10.015614866692198</v>
      </c>
      <c r="G22" s="963">
        <f>E22*1.005</f>
        <v>63681602.894999996</v>
      </c>
      <c r="H22" s="963">
        <f t="shared" si="3"/>
        <v>64000010.90947499</v>
      </c>
      <c r="I22" s="963">
        <f t="shared" si="3"/>
        <v>64320010.96402236</v>
      </c>
    </row>
    <row r="23" spans="1:9" s="792" customFormat="1" ht="15.75">
      <c r="A23" s="788"/>
      <c r="B23" s="797" t="s">
        <v>1096</v>
      </c>
      <c r="C23" s="790"/>
      <c r="D23" s="791">
        <v>28196764</v>
      </c>
      <c r="E23" s="961">
        <f>+'3. sz.Városi szintű összesen'!G25</f>
        <v>31712522</v>
      </c>
      <c r="F23" s="962">
        <f>E23/D23</f>
        <v>1.1246865775093908</v>
      </c>
      <c r="G23" s="963">
        <v>24666866</v>
      </c>
      <c r="H23" s="963">
        <v>25081592</v>
      </c>
      <c r="I23" s="963">
        <v>28735592</v>
      </c>
    </row>
    <row r="24" spans="1:9" s="792" customFormat="1" ht="15.75">
      <c r="A24" s="788"/>
      <c r="B24" s="797" t="s">
        <v>1412</v>
      </c>
      <c r="C24" s="790"/>
      <c r="D24" s="791"/>
      <c r="E24" s="961">
        <v>1500000000</v>
      </c>
      <c r="F24" s="962"/>
      <c r="G24" s="961">
        <v>1500000000</v>
      </c>
      <c r="H24" s="961">
        <v>1500000000</v>
      </c>
      <c r="I24" s="961">
        <v>1500000000</v>
      </c>
    </row>
    <row r="25" spans="1:9" s="212" customFormat="1" ht="15.75">
      <c r="A25" s="10" t="s">
        <v>256</v>
      </c>
      <c r="B25" s="90" t="s">
        <v>33</v>
      </c>
      <c r="C25" s="1"/>
      <c r="D25" s="796">
        <f>+D17+D21+D20</f>
        <v>6569974836</v>
      </c>
      <c r="E25" s="964">
        <f>+E4+E5+E6+E7+E8+E20+E21+E24</f>
        <v>9391691649</v>
      </c>
      <c r="F25" s="965">
        <f aca="true" t="shared" si="4" ref="F25:F33">E25/D25</f>
        <v>1.4294867002440372</v>
      </c>
      <c r="G25" s="966">
        <f>+G4+G5+G6+G7+G8+G21</f>
        <v>7141890043.043999</v>
      </c>
      <c r="H25" s="966">
        <f>+H4+H5+H6+H7+H8+H21</f>
        <v>7177389493.259218</v>
      </c>
      <c r="I25" s="966">
        <f>+I4+I5+I6+I7+I8+I21</f>
        <v>7213066440.725513</v>
      </c>
    </row>
    <row r="26" spans="1:9" s="212" customFormat="1" ht="15.75">
      <c r="A26" s="10" t="s">
        <v>283</v>
      </c>
      <c r="B26" s="90" t="s">
        <v>34</v>
      </c>
      <c r="C26" s="1"/>
      <c r="D26" s="796">
        <f>+D18+D22+D23</f>
        <v>1709266374</v>
      </c>
      <c r="E26" s="964">
        <f>+E18+E22+E23</f>
        <v>2294510187.897638</v>
      </c>
      <c r="F26" s="965">
        <f t="shared" si="4"/>
        <v>1.3423947389358972</v>
      </c>
      <c r="G26" s="966">
        <f>+G12+G13+G14+G22+G23</f>
        <v>1699848468.895</v>
      </c>
      <c r="H26" s="966">
        <f>+H12+H13+H14+H22+H23</f>
        <v>1692151371.909475</v>
      </c>
      <c r="I26" s="966">
        <f>+I12+I13+I14+I22+I23</f>
        <v>1693028694.9640224</v>
      </c>
    </row>
    <row r="27" spans="1:9" s="212" customFormat="1" ht="15.75">
      <c r="A27" s="801" t="s">
        <v>284</v>
      </c>
      <c r="B27" s="802" t="s">
        <v>398</v>
      </c>
      <c r="C27" s="803" t="s">
        <v>32</v>
      </c>
      <c r="D27" s="804">
        <f>+D25+D26</f>
        <v>8279241210</v>
      </c>
      <c r="E27" s="964">
        <f>+E25+E26</f>
        <v>11686201836.897638</v>
      </c>
      <c r="F27" s="965">
        <f t="shared" si="4"/>
        <v>1.4115063857280272</v>
      </c>
      <c r="G27" s="964">
        <f>+G25+G26</f>
        <v>8841738511.939</v>
      </c>
      <c r="H27" s="964">
        <f>+H25+H26</f>
        <v>8869540865.168694</v>
      </c>
      <c r="I27" s="964">
        <f>+I25+I26</f>
        <v>8906095135.689535</v>
      </c>
    </row>
    <row r="28" spans="1:9" s="787" customFormat="1" ht="15.75">
      <c r="A28" s="784" t="s">
        <v>285</v>
      </c>
      <c r="B28" s="754" t="s">
        <v>54</v>
      </c>
      <c r="C28" s="793" t="s">
        <v>267</v>
      </c>
      <c r="D28" s="786">
        <v>859111002</v>
      </c>
      <c r="E28" s="958">
        <f>+'3. sz.Városi szintű összesen'!G30</f>
        <v>864726144</v>
      </c>
      <c r="F28" s="959">
        <f t="shared" si="4"/>
        <v>1.0065359912594858</v>
      </c>
      <c r="G28" s="960">
        <v>850000000</v>
      </c>
      <c r="H28" s="960">
        <v>850000000</v>
      </c>
      <c r="I28" s="960">
        <v>850000000</v>
      </c>
    </row>
    <row r="29" spans="1:9" s="787" customFormat="1" ht="15.75">
      <c r="A29" s="784" t="s">
        <v>286</v>
      </c>
      <c r="B29" s="754" t="s">
        <v>278</v>
      </c>
      <c r="C29" s="793" t="s">
        <v>268</v>
      </c>
      <c r="D29" s="786">
        <v>50878654</v>
      </c>
      <c r="E29" s="958">
        <f>+'3. sz.Városi szintű összesen'!G31</f>
        <v>228365963</v>
      </c>
      <c r="F29" s="959">
        <f t="shared" si="4"/>
        <v>4.48844348358744</v>
      </c>
      <c r="G29" s="960">
        <v>0</v>
      </c>
      <c r="H29" s="960">
        <v>0</v>
      </c>
      <c r="I29" s="960">
        <v>0</v>
      </c>
    </row>
    <row r="30" spans="1:9" s="787" customFormat="1" ht="15.75">
      <c r="A30" s="784" t="s">
        <v>287</v>
      </c>
      <c r="B30" s="754" t="s">
        <v>1097</v>
      </c>
      <c r="C30" s="793" t="s">
        <v>269</v>
      </c>
      <c r="D30" s="786">
        <v>3182257790</v>
      </c>
      <c r="E30" s="958">
        <f>+'3. sz.Városi szintű összesen'!G32</f>
        <v>3782810779</v>
      </c>
      <c r="F30" s="959">
        <f t="shared" si="4"/>
        <v>1.1887191511910793</v>
      </c>
      <c r="G30" s="960">
        <f>E30*1.005</f>
        <v>3801724832.8949995</v>
      </c>
      <c r="H30" s="960">
        <f>G30*1.005</f>
        <v>3820733457.059474</v>
      </c>
      <c r="I30" s="960">
        <f>(H30*1.005)-12025</f>
        <v>3839825099.344771</v>
      </c>
    </row>
    <row r="31" spans="1:9" s="787" customFormat="1" ht="15.75">
      <c r="A31" s="784" t="s">
        <v>288</v>
      </c>
      <c r="B31" s="758" t="s">
        <v>0</v>
      </c>
      <c r="C31" s="793" t="s">
        <v>270</v>
      </c>
      <c r="D31" s="786">
        <v>411210269</v>
      </c>
      <c r="E31" s="958">
        <f>+'3. sz.Városi szintű összesen'!G33</f>
        <v>456627269</v>
      </c>
      <c r="F31" s="959">
        <f t="shared" si="4"/>
        <v>1.1104471444996915</v>
      </c>
      <c r="G31" s="960">
        <f>E31*1.005</f>
        <v>458910405.34499997</v>
      </c>
      <c r="H31" s="960">
        <f>G31*1.005</f>
        <v>461204957.3717249</v>
      </c>
      <c r="I31" s="960">
        <f>H31*1.005</f>
        <v>463510982.15858346</v>
      </c>
    </row>
    <row r="32" spans="1:9" s="787" customFormat="1" ht="15.75">
      <c r="A32" s="784" t="s">
        <v>289</v>
      </c>
      <c r="B32" s="754" t="s">
        <v>300</v>
      </c>
      <c r="C32" s="793" t="s">
        <v>271</v>
      </c>
      <c r="D32" s="786">
        <v>50000000</v>
      </c>
      <c r="E32" s="958">
        <f>+'3. sz.Városi szintű összesen'!G34</f>
        <v>100000000</v>
      </c>
      <c r="F32" s="959">
        <f t="shared" si="4"/>
        <v>2</v>
      </c>
      <c r="G32" s="960">
        <v>30000000</v>
      </c>
      <c r="H32" s="960">
        <v>30000000</v>
      </c>
      <c r="I32" s="960">
        <v>30000000</v>
      </c>
    </row>
    <row r="33" spans="1:9" s="787" customFormat="1" ht="15.75">
      <c r="A33" s="784" t="s">
        <v>290</v>
      </c>
      <c r="B33" s="754" t="s">
        <v>295</v>
      </c>
      <c r="C33" s="793" t="s">
        <v>272</v>
      </c>
      <c r="D33" s="786">
        <v>28095000</v>
      </c>
      <c r="E33" s="958">
        <f>+'3. sz.Városi szintű összesen'!G35</f>
        <v>9040000</v>
      </c>
      <c r="F33" s="959">
        <f t="shared" si="4"/>
        <v>0.3217654386901584</v>
      </c>
      <c r="G33" s="960">
        <v>10000000</v>
      </c>
      <c r="H33" s="960">
        <v>10000000</v>
      </c>
      <c r="I33" s="960">
        <v>10000000</v>
      </c>
    </row>
    <row r="34" spans="1:9" s="787" customFormat="1" ht="15.75">
      <c r="A34" s="784" t="s">
        <v>291</v>
      </c>
      <c r="B34" s="754" t="s">
        <v>1098</v>
      </c>
      <c r="C34" s="793" t="s">
        <v>273</v>
      </c>
      <c r="D34" s="786">
        <v>134740900</v>
      </c>
      <c r="E34" s="958">
        <f>+'3. sz.Városi szintű összesen'!G36</f>
        <v>167845820</v>
      </c>
      <c r="F34" s="959">
        <f aca="true" t="shared" si="5" ref="F34:F42">E34/D34</f>
        <v>1.2456931785374745</v>
      </c>
      <c r="G34" s="960">
        <f aca="true" t="shared" si="6" ref="G34:G43">E34*1.005</f>
        <v>168685049.1</v>
      </c>
      <c r="H34" s="960">
        <f>G34*1.005</f>
        <v>169528474.34549996</v>
      </c>
      <c r="I34" s="960">
        <f>H34*1.005</f>
        <v>170376116.71722746</v>
      </c>
    </row>
    <row r="35" spans="1:9" s="212" customFormat="1" ht="15.75">
      <c r="A35" s="10" t="s">
        <v>322</v>
      </c>
      <c r="B35" s="174" t="s">
        <v>297</v>
      </c>
      <c r="C35" s="176" t="s">
        <v>274</v>
      </c>
      <c r="D35" s="796">
        <f>SUM(D28:D34)</f>
        <v>4716293615</v>
      </c>
      <c r="E35" s="964">
        <f>SUM(E36:E37)</f>
        <v>5609415975</v>
      </c>
      <c r="F35" s="965">
        <f t="shared" si="5"/>
        <v>1.1893695416162082</v>
      </c>
      <c r="G35" s="966">
        <f>SUM(G28:G34)</f>
        <v>5319320287.34</v>
      </c>
      <c r="H35" s="966">
        <f>SUM(H28:H34)</f>
        <v>5341466888.776699</v>
      </c>
      <c r="I35" s="966">
        <f>SUM(I28:I34)</f>
        <v>5363712198.220581</v>
      </c>
    </row>
    <row r="36" spans="1:9" s="792" customFormat="1" ht="15.75">
      <c r="A36" s="805"/>
      <c r="B36" s="789" t="s">
        <v>1099</v>
      </c>
      <c r="C36" s="797"/>
      <c r="D36" s="791">
        <f>+D28+D30+D31+D33</f>
        <v>4480674061</v>
      </c>
      <c r="E36" s="961">
        <f>+E28+E30+E31+E33</f>
        <v>5113204192</v>
      </c>
      <c r="F36" s="962">
        <f t="shared" si="5"/>
        <v>1.1411685211619325</v>
      </c>
      <c r="G36" s="963">
        <f>+G28+G30+G31+G33</f>
        <v>5120635238.24</v>
      </c>
      <c r="H36" s="963">
        <f>+H28+H30+H31+H33</f>
        <v>5141938414.431199</v>
      </c>
      <c r="I36" s="963">
        <f>+I28+I30+I31+I33</f>
        <v>5163336081.503354</v>
      </c>
    </row>
    <row r="37" spans="1:11" s="792" customFormat="1" ht="15.75">
      <c r="A37" s="805"/>
      <c r="B37" s="789" t="s">
        <v>1100</v>
      </c>
      <c r="C37" s="797"/>
      <c r="D37" s="791">
        <f>+D29+D32+D34</f>
        <v>235619554</v>
      </c>
      <c r="E37" s="961">
        <f>+E29+E32+E34</f>
        <v>496211783</v>
      </c>
      <c r="F37" s="962">
        <f t="shared" si="5"/>
        <v>2.105987277269865</v>
      </c>
      <c r="G37" s="963">
        <f>+G29+G32+G34</f>
        <v>198685049.1</v>
      </c>
      <c r="H37" s="963">
        <f>+H29+H32+H34</f>
        <v>199528474.34549996</v>
      </c>
      <c r="I37" s="963">
        <f>+I29+I32+I34</f>
        <v>200376116.71722746</v>
      </c>
      <c r="J37" s="798"/>
      <c r="K37" s="798">
        <f>+G27-G47</f>
        <v>16978013.54899788</v>
      </c>
    </row>
    <row r="38" spans="1:15" s="212" customFormat="1" ht="15.75">
      <c r="A38" s="10" t="s">
        <v>323</v>
      </c>
      <c r="B38" s="176" t="s">
        <v>298</v>
      </c>
      <c r="C38" s="1" t="s">
        <v>276</v>
      </c>
      <c r="D38" s="796">
        <f>SUM(D39:D43)</f>
        <v>3562947595</v>
      </c>
      <c r="E38" s="964">
        <f>SUM(E39:E44)</f>
        <v>6076785862</v>
      </c>
      <c r="F38" s="965">
        <f t="shared" si="5"/>
        <v>1.705550165971498</v>
      </c>
      <c r="G38" s="966">
        <f>+G39+G40+G41+G42+G43</f>
        <v>3505440211.0499997</v>
      </c>
      <c r="H38" s="966">
        <f>+H39+H40+H41+H42+H43</f>
        <v>3511011072.1052494</v>
      </c>
      <c r="I38" s="966">
        <f>+I39+I40+I41+I42+I43</f>
        <v>3525234719.465775</v>
      </c>
      <c r="O38" s="806">
        <f>+G27-G47</f>
        <v>16978013.54899788</v>
      </c>
    </row>
    <row r="39" spans="1:9" s="792" customFormat="1" ht="15" customHeight="1">
      <c r="A39" s="788"/>
      <c r="B39" s="797" t="s">
        <v>1101</v>
      </c>
      <c r="C39" s="790"/>
      <c r="D39" s="791">
        <v>690725012</v>
      </c>
      <c r="E39" s="961">
        <f>+'3. sz.Városi szintű összesen'!G40</f>
        <v>1107813354</v>
      </c>
      <c r="F39" s="962">
        <f t="shared" si="5"/>
        <v>1.6038413764579298</v>
      </c>
      <c r="G39" s="963">
        <f t="shared" si="6"/>
        <v>1113352420.77</v>
      </c>
      <c r="H39" s="963">
        <f>G39*1.005</f>
        <v>1118919182.8738499</v>
      </c>
      <c r="I39" s="963">
        <f>H39*1.005</f>
        <v>1124513778.788219</v>
      </c>
    </row>
    <row r="40" spans="1:9" s="792" customFormat="1" ht="15.75">
      <c r="A40" s="788"/>
      <c r="B40" s="797" t="s">
        <v>1102</v>
      </c>
      <c r="C40" s="790"/>
      <c r="D40" s="791">
        <v>880247470</v>
      </c>
      <c r="E40" s="961">
        <f>+'3. sz.Városi szintű összesen'!G41</f>
        <v>1088785652</v>
      </c>
      <c r="F40" s="962">
        <f t="shared" si="5"/>
        <v>1.236908584355261</v>
      </c>
      <c r="G40" s="963">
        <v>0</v>
      </c>
      <c r="H40" s="963">
        <f>G40*1.005-95711366-1+5000000+30000000+45000000-57500</f>
        <v>-15768867</v>
      </c>
      <c r="I40" s="963">
        <f>H40*1.005-10250000+6918592</f>
        <v>-19179119.335</v>
      </c>
    </row>
    <row r="41" spans="1:9" s="792" customFormat="1" ht="15.75">
      <c r="A41" s="788"/>
      <c r="B41" s="797" t="s">
        <v>1103</v>
      </c>
      <c r="C41" s="790"/>
      <c r="D41" s="791">
        <v>1985648514</v>
      </c>
      <c r="E41" s="961">
        <f>+'3. sz.Városi szintű összesen'!G42</f>
        <v>2316822077</v>
      </c>
      <c r="F41" s="962">
        <f t="shared" si="5"/>
        <v>1.1667835775894022</v>
      </c>
      <c r="G41" s="963">
        <f t="shared" si="6"/>
        <v>2328406187.3849998</v>
      </c>
      <c r="H41" s="963">
        <f>G41*1.005+3812527</f>
        <v>2343860745.3219247</v>
      </c>
      <c r="I41" s="963">
        <f>H41*1.005</f>
        <v>2355580049.048534</v>
      </c>
    </row>
    <row r="42" spans="1:12" s="792" customFormat="1" ht="15.75">
      <c r="A42" s="788"/>
      <c r="B42" s="797" t="s">
        <v>1104</v>
      </c>
      <c r="C42" s="790"/>
      <c r="D42" s="791">
        <v>6326599</v>
      </c>
      <c r="E42" s="961">
        <f>+'3. sz.Városi szintű összesen'!G43</f>
        <v>63364779</v>
      </c>
      <c r="F42" s="962">
        <f t="shared" si="5"/>
        <v>10.015614866692198</v>
      </c>
      <c r="G42" s="963">
        <f t="shared" si="6"/>
        <v>63681602.894999996</v>
      </c>
      <c r="H42" s="963">
        <f>G42*1.005</f>
        <v>64000010.90947499</v>
      </c>
      <c r="I42" s="963">
        <f>H42*1.005</f>
        <v>64320010.96402236</v>
      </c>
      <c r="L42" s="798">
        <f>+G27-G47</f>
        <v>16978013.54899788</v>
      </c>
    </row>
    <row r="43" spans="1:11" s="792" customFormat="1" ht="15.75">
      <c r="A43" s="788"/>
      <c r="B43" s="797" t="s">
        <v>1105</v>
      </c>
      <c r="C43" s="790"/>
      <c r="D43" s="791">
        <v>0</v>
      </c>
      <c r="E43" s="961">
        <f>+'3. sz.Városi szintű összesen'!G44</f>
        <v>0</v>
      </c>
      <c r="F43" s="962">
        <v>0</v>
      </c>
      <c r="G43" s="963">
        <f t="shared" si="6"/>
        <v>0</v>
      </c>
      <c r="H43" s="963">
        <f>G43*1.005</f>
        <v>0</v>
      </c>
      <c r="I43" s="963">
        <f>H43*1.005</f>
        <v>0</v>
      </c>
      <c r="K43" s="798">
        <f>+H27-H47</f>
        <v>17062904.28674507</v>
      </c>
    </row>
    <row r="44" spans="1:11" s="792" customFormat="1" ht="15.75">
      <c r="A44" s="788"/>
      <c r="B44" s="797" t="s">
        <v>1413</v>
      </c>
      <c r="C44" s="790"/>
      <c r="D44" s="791"/>
      <c r="E44" s="961">
        <v>1500000000</v>
      </c>
      <c r="F44" s="962"/>
      <c r="G44" s="961">
        <v>1500000000</v>
      </c>
      <c r="H44" s="961">
        <v>1500000000</v>
      </c>
      <c r="I44" s="961">
        <v>1500000000</v>
      </c>
      <c r="K44" s="798"/>
    </row>
    <row r="45" spans="1:9" s="212" customFormat="1" ht="15.75">
      <c r="A45" s="10" t="s">
        <v>324</v>
      </c>
      <c r="B45" s="90" t="s">
        <v>145</v>
      </c>
      <c r="C45" s="1"/>
      <c r="D45" s="796">
        <f>+D36+D39+D41</f>
        <v>7157047587</v>
      </c>
      <c r="E45" s="964">
        <f>+E36+E39+E41+E44</f>
        <v>10037839623</v>
      </c>
      <c r="F45" s="965">
        <f>E45/D45</f>
        <v>1.40251123119995</v>
      </c>
      <c r="G45" s="966">
        <f>+G28+G30+G31+G33+G39+G41</f>
        <v>8562393846.395</v>
      </c>
      <c r="H45" s="966">
        <f>+H28+H30+H31+H33+H39+H41</f>
        <v>8604718342.626974</v>
      </c>
      <c r="I45" s="966">
        <f>+I28+I30+I31+I33+I39+I41</f>
        <v>8643429909.340107</v>
      </c>
    </row>
    <row r="46" spans="1:12" s="212" customFormat="1" ht="15.75">
      <c r="A46" s="10" t="s">
        <v>325</v>
      </c>
      <c r="B46" s="90" t="s">
        <v>146</v>
      </c>
      <c r="C46" s="1"/>
      <c r="D46" s="796">
        <f>+D37+D40+D42+D43</f>
        <v>1122193623</v>
      </c>
      <c r="E46" s="964">
        <f>+E37+E40+E42</f>
        <v>1648362214</v>
      </c>
      <c r="F46" s="965">
        <f>E46/D46</f>
        <v>1.4688750499164083</v>
      </c>
      <c r="G46" s="966">
        <f>+G29+G32+G34+G40+G42</f>
        <v>262366651.995</v>
      </c>
      <c r="H46" s="966">
        <f>+H29+H32+H34+H40+H42</f>
        <v>247759618.25497496</v>
      </c>
      <c r="I46" s="966">
        <f>+I29+I32+I34+I40+I42</f>
        <v>245517008.34624982</v>
      </c>
      <c r="L46" s="806">
        <f>+G27-G47</f>
        <v>16978013.54899788</v>
      </c>
    </row>
    <row r="47" spans="1:11" s="212" customFormat="1" ht="15.75">
      <c r="A47" s="801" t="s">
        <v>326</v>
      </c>
      <c r="B47" s="802" t="s">
        <v>399</v>
      </c>
      <c r="C47" s="803" t="s">
        <v>1077</v>
      </c>
      <c r="D47" s="804">
        <f>+D45+D46</f>
        <v>8279241210</v>
      </c>
      <c r="E47" s="964">
        <f>+E45+E46</f>
        <v>11686201837</v>
      </c>
      <c r="F47" s="965">
        <f>E47/D47</f>
        <v>1.411506385740391</v>
      </c>
      <c r="G47" s="964">
        <f>+G45+G46</f>
        <v>8824760498.390001</v>
      </c>
      <c r="H47" s="964">
        <f>+H45+H46</f>
        <v>8852477960.881948</v>
      </c>
      <c r="I47" s="964">
        <f>+I45+I46</f>
        <v>8888946917.686357</v>
      </c>
      <c r="K47" s="806">
        <f>+I27-I47</f>
        <v>17148218.003177643</v>
      </c>
    </row>
    <row r="48" spans="1:11" s="212" customFormat="1" ht="15.75">
      <c r="A48" s="807"/>
      <c r="B48" s="769"/>
      <c r="C48" s="1154"/>
      <c r="D48" s="1155"/>
      <c r="E48" s="967"/>
      <c r="F48" s="1153"/>
      <c r="G48" s="967"/>
      <c r="H48" s="967"/>
      <c r="I48" s="967"/>
      <c r="K48" s="806"/>
    </row>
    <row r="49" spans="1:10" s="809" customFormat="1" ht="18.75" customHeight="1">
      <c r="A49" s="807"/>
      <c r="B49" s="1422" t="s">
        <v>1079</v>
      </c>
      <c r="C49" s="1422"/>
      <c r="D49" s="1422"/>
      <c r="E49" s="967">
        <f>E36</f>
        <v>5113204192</v>
      </c>
      <c r="F49" s="968"/>
      <c r="G49" s="967">
        <f>+G47-G27</f>
        <v>-16978013.54899788</v>
      </c>
      <c r="H49" s="967">
        <f>+H47-H27</f>
        <v>-17062904.28674507</v>
      </c>
      <c r="I49" s="967">
        <f>+I47-I27</f>
        <v>-17148218.003177643</v>
      </c>
      <c r="J49" s="808"/>
    </row>
    <row r="50" spans="1:10" s="809" customFormat="1" ht="18.75" customHeight="1">
      <c r="A50" s="807"/>
      <c r="B50" s="1422" t="s">
        <v>1080</v>
      </c>
      <c r="C50" s="1422"/>
      <c r="D50" s="1422"/>
      <c r="E50" s="967">
        <f>E17</f>
        <v>5571813306</v>
      </c>
      <c r="F50" s="968"/>
      <c r="G50" s="967"/>
      <c r="H50" s="967"/>
      <c r="I50" s="967"/>
      <c r="J50" s="808"/>
    </row>
    <row r="51" spans="1:9" s="809" customFormat="1" ht="18.75" customHeight="1">
      <c r="A51" s="807"/>
      <c r="B51" s="1422" t="s">
        <v>1081</v>
      </c>
      <c r="C51" s="1422"/>
      <c r="D51" s="1422"/>
      <c r="E51" s="967">
        <f>E49-E50</f>
        <v>-458609114</v>
      </c>
      <c r="F51" s="968"/>
      <c r="G51" s="967"/>
      <c r="H51" s="967"/>
      <c r="I51" s="967"/>
    </row>
    <row r="52" spans="1:11" s="809" customFormat="1" ht="18.75" customHeight="1">
      <c r="A52" s="807"/>
      <c r="B52" s="769"/>
      <c r="C52" s="769"/>
      <c r="D52" s="769"/>
      <c r="E52" s="967"/>
      <c r="F52" s="968"/>
      <c r="G52" s="967"/>
      <c r="H52" s="967"/>
      <c r="I52" s="967"/>
      <c r="K52" s="808">
        <f>+H27-H47</f>
        <v>17062904.28674507</v>
      </c>
    </row>
    <row r="53" spans="1:9" s="809" customFormat="1" ht="18.75" customHeight="1">
      <c r="A53" s="807"/>
      <c r="B53" s="1422" t="s">
        <v>1082</v>
      </c>
      <c r="C53" s="1422"/>
      <c r="D53" s="1422"/>
      <c r="E53" s="967">
        <f>E37</f>
        <v>496211783</v>
      </c>
      <c r="F53" s="968"/>
      <c r="G53" s="967"/>
      <c r="H53" s="967"/>
      <c r="I53" s="967"/>
    </row>
    <row r="54" spans="1:9" s="809" customFormat="1" ht="18.75" customHeight="1">
      <c r="A54" s="807"/>
      <c r="B54" s="1422" t="s">
        <v>1083</v>
      </c>
      <c r="C54" s="1422"/>
      <c r="D54" s="1422"/>
      <c r="E54" s="967">
        <f>E18</f>
        <v>2199432886.897638</v>
      </c>
      <c r="F54" s="968"/>
      <c r="G54" s="967"/>
      <c r="H54" s="967"/>
      <c r="I54" s="967"/>
    </row>
    <row r="55" spans="1:11" s="809" customFormat="1" ht="18.75" customHeight="1">
      <c r="A55" s="807"/>
      <c r="B55" s="1422" t="s">
        <v>1084</v>
      </c>
      <c r="C55" s="1422"/>
      <c r="D55" s="1422"/>
      <c r="E55" s="967">
        <f>E53-E54</f>
        <v>-1703221103.8976378</v>
      </c>
      <c r="F55" s="968"/>
      <c r="G55" s="967"/>
      <c r="H55" s="967"/>
      <c r="I55" s="967"/>
      <c r="K55" s="808">
        <f>+G47-G27</f>
        <v>-16978013.54899788</v>
      </c>
    </row>
    <row r="56" spans="1:9" s="809" customFormat="1" ht="18.75" customHeight="1">
      <c r="A56" s="807"/>
      <c r="B56" s="769"/>
      <c r="C56" s="769"/>
      <c r="D56" s="769"/>
      <c r="E56" s="967"/>
      <c r="F56" s="968"/>
      <c r="G56" s="967"/>
      <c r="H56" s="967"/>
      <c r="I56" s="967"/>
    </row>
    <row r="57" spans="1:9" s="809" customFormat="1" ht="18.75" customHeight="1">
      <c r="A57" s="807"/>
      <c r="B57" s="1422" t="s">
        <v>1085</v>
      </c>
      <c r="C57" s="1422"/>
      <c r="D57" s="1422"/>
      <c r="E57" s="967">
        <f>E51+E55</f>
        <v>-2161830217.897638</v>
      </c>
      <c r="F57" s="968"/>
      <c r="G57" s="967"/>
      <c r="H57" s="967"/>
      <c r="I57" s="967"/>
    </row>
    <row r="58" spans="1:9" s="809" customFormat="1" ht="18.75" customHeight="1">
      <c r="A58" s="807"/>
      <c r="B58" s="1422" t="s">
        <v>1086</v>
      </c>
      <c r="C58" s="1422"/>
      <c r="D58" s="1422"/>
      <c r="E58" s="967">
        <f>+E38-E19</f>
        <v>2161830218</v>
      </c>
      <c r="F58" s="968"/>
      <c r="G58" s="967"/>
      <c r="H58" s="967"/>
      <c r="I58" s="967"/>
    </row>
    <row r="59" spans="1:9" s="809" customFormat="1" ht="18.75" customHeight="1">
      <c r="A59" s="807"/>
      <c r="B59" s="1422" t="s">
        <v>1480</v>
      </c>
      <c r="C59" s="1422"/>
      <c r="D59" s="1422"/>
      <c r="E59" s="967">
        <f>+E57+E58</f>
        <v>0.10236215591430664</v>
      </c>
      <c r="F59" s="968"/>
      <c r="G59" s="967"/>
      <c r="H59" s="967"/>
      <c r="I59" s="967"/>
    </row>
    <row r="61" spans="1:9" s="811" customFormat="1" ht="15.75">
      <c r="A61" s="1428" t="s">
        <v>1106</v>
      </c>
      <c r="B61" s="1428"/>
      <c r="C61" s="810"/>
      <c r="D61" s="810"/>
      <c r="E61" s="969"/>
      <c r="F61" s="969"/>
      <c r="G61" s="969"/>
      <c r="H61" s="969"/>
      <c r="I61" s="969"/>
    </row>
    <row r="62" spans="1:9" s="812" customFormat="1" ht="15.75">
      <c r="A62" s="1427" t="s">
        <v>1382</v>
      </c>
      <c r="B62" s="1427"/>
      <c r="C62" s="1427"/>
      <c r="D62" s="1427"/>
      <c r="E62" s="1427"/>
      <c r="F62" s="1427"/>
      <c r="G62" s="1427"/>
      <c r="H62" s="1427"/>
      <c r="I62" s="1427"/>
    </row>
    <row r="63" spans="1:9" s="813" customFormat="1" ht="15" customHeight="1">
      <c r="A63" s="1429" t="s">
        <v>1381</v>
      </c>
      <c r="B63" s="1429"/>
      <c r="C63" s="1429"/>
      <c r="D63" s="1429"/>
      <c r="E63" s="1429"/>
      <c r="F63" s="1429"/>
      <c r="G63" s="1429"/>
      <c r="H63" s="1429"/>
      <c r="I63" s="1429"/>
    </row>
    <row r="64" spans="1:9" s="813" customFormat="1" ht="15" customHeight="1">
      <c r="A64" s="1429" t="s">
        <v>1383</v>
      </c>
      <c r="B64" s="1430"/>
      <c r="C64" s="1430"/>
      <c r="D64" s="1430"/>
      <c r="E64" s="1430"/>
      <c r="F64" s="1430"/>
      <c r="G64" s="947"/>
      <c r="H64" s="947"/>
      <c r="I64" s="947"/>
    </row>
    <row r="65" spans="1:9" s="811" customFormat="1" ht="15.75">
      <c r="A65" s="1427" t="s">
        <v>1384</v>
      </c>
      <c r="B65" s="1427"/>
      <c r="C65" s="1427"/>
      <c r="D65" s="1427"/>
      <c r="E65" s="1427"/>
      <c r="F65" s="1427"/>
      <c r="G65" s="1427"/>
      <c r="H65" s="1427"/>
      <c r="I65" s="970"/>
    </row>
    <row r="66" spans="1:9" s="811" customFormat="1" ht="15.75">
      <c r="A66" s="1427" t="s">
        <v>1385</v>
      </c>
      <c r="B66" s="1427"/>
      <c r="C66" s="1427"/>
      <c r="D66" s="1427"/>
      <c r="E66" s="1427"/>
      <c r="F66" s="1427"/>
      <c r="G66" s="1427"/>
      <c r="H66" s="1427"/>
      <c r="I66" s="970"/>
    </row>
    <row r="67" spans="1:9" s="811" customFormat="1" ht="15.75">
      <c r="A67" s="1427" t="s">
        <v>1386</v>
      </c>
      <c r="B67" s="1427"/>
      <c r="C67" s="1427"/>
      <c r="D67" s="1427"/>
      <c r="E67" s="1427"/>
      <c r="F67" s="1427"/>
      <c r="G67" s="1427"/>
      <c r="H67" s="1427"/>
      <c r="I67" s="945"/>
    </row>
    <row r="68" spans="1:9" s="811" customFormat="1" ht="15.75">
      <c r="A68" s="1427" t="s">
        <v>1387</v>
      </c>
      <c r="B68" s="1427"/>
      <c r="C68" s="1427"/>
      <c r="D68" s="1427"/>
      <c r="E68" s="1427"/>
      <c r="F68" s="1427"/>
      <c r="G68" s="1427"/>
      <c r="H68" s="1427"/>
      <c r="I68" s="1427"/>
    </row>
    <row r="69" spans="1:9" s="811" customFormat="1" ht="15.75">
      <c r="A69" s="1427" t="s">
        <v>1388</v>
      </c>
      <c r="B69" s="1427"/>
      <c r="C69" s="1427"/>
      <c r="D69" s="1427"/>
      <c r="E69" s="1427"/>
      <c r="F69" s="1427"/>
      <c r="G69" s="1427"/>
      <c r="H69" s="1427"/>
      <c r="I69" s="945"/>
    </row>
    <row r="70" spans="1:9" s="811" customFormat="1" ht="15.75">
      <c r="A70" s="1427" t="s">
        <v>1389</v>
      </c>
      <c r="B70" s="1427"/>
      <c r="C70" s="1427"/>
      <c r="D70" s="1427"/>
      <c r="E70" s="1427"/>
      <c r="F70" s="1427"/>
      <c r="G70" s="1427"/>
      <c r="H70" s="1427"/>
      <c r="I70" s="945"/>
    </row>
    <row r="71" spans="1:9" s="811" customFormat="1" ht="15.75">
      <c r="A71" s="1427" t="s">
        <v>1390</v>
      </c>
      <c r="B71" s="1427"/>
      <c r="C71" s="1427"/>
      <c r="D71" s="1427"/>
      <c r="E71" s="1427"/>
      <c r="F71" s="1427"/>
      <c r="G71" s="1427"/>
      <c r="H71" s="1427"/>
      <c r="I71" s="945"/>
    </row>
    <row r="72" spans="1:9" s="811" customFormat="1" ht="15.75">
      <c r="A72" s="1427" t="s">
        <v>1391</v>
      </c>
      <c r="B72" s="1427"/>
      <c r="C72" s="1427"/>
      <c r="D72" s="1427"/>
      <c r="E72" s="1427"/>
      <c r="F72" s="1427"/>
      <c r="G72" s="1427"/>
      <c r="H72" s="1427"/>
      <c r="I72" s="945"/>
    </row>
    <row r="73" spans="1:9" s="811" customFormat="1" ht="15.75">
      <c r="A73" s="1427" t="s">
        <v>1392</v>
      </c>
      <c r="B73" s="1427"/>
      <c r="C73" s="1427"/>
      <c r="D73" s="1427"/>
      <c r="E73" s="1427"/>
      <c r="F73" s="1427"/>
      <c r="G73" s="1427"/>
      <c r="H73" s="1427"/>
      <c r="I73" s="945"/>
    </row>
    <row r="74" spans="1:9" s="811" customFormat="1" ht="15.75">
      <c r="A74" s="1427" t="s">
        <v>1393</v>
      </c>
      <c r="B74" s="1427"/>
      <c r="C74" s="1427"/>
      <c r="D74" s="1427"/>
      <c r="E74" s="1427"/>
      <c r="F74" s="1427"/>
      <c r="G74" s="1427"/>
      <c r="H74" s="1427"/>
      <c r="I74" s="945"/>
    </row>
    <row r="75" spans="1:9" s="811" customFormat="1" ht="15.75">
      <c r="A75" s="1427" t="s">
        <v>1414</v>
      </c>
      <c r="B75" s="1427"/>
      <c r="C75" s="1427"/>
      <c r="D75" s="1427"/>
      <c r="E75" s="1427"/>
      <c r="F75" s="1427"/>
      <c r="G75" s="1427"/>
      <c r="H75" s="1427"/>
      <c r="I75" s="945"/>
    </row>
    <row r="76" spans="1:9" s="811" customFormat="1" ht="15.75">
      <c r="A76" s="946"/>
      <c r="B76" s="946"/>
      <c r="C76" s="946"/>
      <c r="D76" s="946"/>
      <c r="E76" s="946"/>
      <c r="F76" s="946"/>
      <c r="G76" s="946"/>
      <c r="H76" s="946"/>
      <c r="I76" s="945"/>
    </row>
    <row r="77" spans="1:9" s="811" customFormat="1" ht="15.75">
      <c r="A77" s="1428" t="s">
        <v>1107</v>
      </c>
      <c r="B77" s="1428"/>
      <c r="C77" s="1428"/>
      <c r="D77" s="1428"/>
      <c r="E77" s="1428"/>
      <c r="F77" s="1428"/>
      <c r="G77" s="1428"/>
      <c r="H77" s="1428"/>
      <c r="I77" s="1428"/>
    </row>
    <row r="78" spans="1:9" s="811" customFormat="1" ht="15.75">
      <c r="A78" s="1427" t="s">
        <v>1394</v>
      </c>
      <c r="B78" s="1427"/>
      <c r="C78" s="1427"/>
      <c r="D78" s="1427"/>
      <c r="E78" s="1427"/>
      <c r="F78" s="1427"/>
      <c r="G78" s="1427"/>
      <c r="H78" s="1427"/>
      <c r="I78" s="1427"/>
    </row>
    <row r="79" spans="1:9" s="811" customFormat="1" ht="15.75">
      <c r="A79" s="1427" t="s">
        <v>1395</v>
      </c>
      <c r="B79" s="1427"/>
      <c r="C79" s="1427"/>
      <c r="D79" s="1427"/>
      <c r="E79" s="1427"/>
      <c r="F79" s="1427"/>
      <c r="G79" s="1427"/>
      <c r="H79" s="1427"/>
      <c r="I79" s="1427"/>
    </row>
    <row r="80" spans="1:9" s="811" customFormat="1" ht="34.5" customHeight="1">
      <c r="A80" s="1427" t="s">
        <v>1396</v>
      </c>
      <c r="B80" s="1427"/>
      <c r="C80" s="1427"/>
      <c r="D80" s="1427"/>
      <c r="E80" s="1427"/>
      <c r="F80" s="1427"/>
      <c r="G80" s="1427"/>
      <c r="H80" s="1427"/>
      <c r="I80" s="1427"/>
    </row>
    <row r="81" spans="1:9" s="811" customFormat="1" ht="15.75">
      <c r="A81" s="1427" t="s">
        <v>1397</v>
      </c>
      <c r="B81" s="1427"/>
      <c r="C81" s="1427"/>
      <c r="D81" s="1427"/>
      <c r="E81" s="1427"/>
      <c r="F81" s="1427"/>
      <c r="G81" s="1427"/>
      <c r="H81" s="1427"/>
      <c r="I81" s="1427"/>
    </row>
    <row r="82" spans="1:9" s="811" customFormat="1" ht="15.75">
      <c r="A82" s="774"/>
      <c r="B82" s="774"/>
      <c r="C82" s="774"/>
      <c r="D82" s="774"/>
      <c r="E82" s="971"/>
      <c r="F82" s="971"/>
      <c r="G82" s="971"/>
      <c r="H82" s="971"/>
      <c r="I82" s="971"/>
    </row>
  </sheetData>
  <sheetProtection/>
  <mergeCells count="32">
    <mergeCell ref="A1:I2"/>
    <mergeCell ref="M13:AX14"/>
    <mergeCell ref="M15:AS15"/>
    <mergeCell ref="B49:D49"/>
    <mergeCell ref="B50:D50"/>
    <mergeCell ref="B51:D51"/>
    <mergeCell ref="B53:D53"/>
    <mergeCell ref="B54:D54"/>
    <mergeCell ref="B55:D55"/>
    <mergeCell ref="B57:D57"/>
    <mergeCell ref="B58:D58"/>
    <mergeCell ref="B59:D59"/>
    <mergeCell ref="A79:I79"/>
    <mergeCell ref="A70:H70"/>
    <mergeCell ref="A71:H71"/>
    <mergeCell ref="A61:B61"/>
    <mergeCell ref="A62:I62"/>
    <mergeCell ref="A63:I63"/>
    <mergeCell ref="A65:H65"/>
    <mergeCell ref="A66:H66"/>
    <mergeCell ref="A64:F64"/>
    <mergeCell ref="A75:H75"/>
    <mergeCell ref="A72:H72"/>
    <mergeCell ref="A73:H73"/>
    <mergeCell ref="A74:H74"/>
    <mergeCell ref="A80:I80"/>
    <mergeCell ref="A81:I81"/>
    <mergeCell ref="A67:H67"/>
    <mergeCell ref="A68:I68"/>
    <mergeCell ref="A69:H69"/>
    <mergeCell ref="A77:I77"/>
    <mergeCell ref="A78:I78"/>
  </mergeCells>
  <printOptions horizontalCentered="1" verticalCentered="1"/>
  <pageMargins left="0.15748031496062992" right="0.2362204724409449" top="0.31496062992125984" bottom="0.31496062992125984" header="0.2362204724409449" footer="0.15748031496062992"/>
  <pageSetup horizontalDpi="600" verticalDpi="600" orientation="landscape" paperSize="9" scale="55" r:id="rId1"/>
  <headerFooter>
    <oddHeader>&amp;C2019. évi költségvetés&amp;R&amp;A</oddHeader>
    <oddFooter>&amp;C&amp;P/&amp;N</oddFooter>
  </headerFooter>
  <rowBreaks count="1" manualBreakCount="1">
    <brk id="59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89" zoomScaleSheetLayoutView="89" zoomScalePageLayoutView="0" workbookViewId="0" topLeftCell="A1">
      <selection activeCell="H5" sqref="H5"/>
    </sheetView>
  </sheetViews>
  <sheetFormatPr defaultColWidth="9.00390625" defaultRowHeight="12.75"/>
  <cols>
    <col min="2" max="2" width="42.125" style="0" customWidth="1"/>
    <col min="4" max="4" width="12.25390625" style="0" customWidth="1"/>
    <col min="5" max="5" width="13.25390625" style="0" customWidth="1"/>
    <col min="6" max="6" width="12.375" style="0" customWidth="1"/>
    <col min="7" max="8" width="13.25390625" style="0" customWidth="1"/>
    <col min="9" max="9" width="16.75390625" style="0" customWidth="1"/>
  </cols>
  <sheetData>
    <row r="1" spans="1:9" ht="15.75">
      <c r="A1" s="1436" t="s">
        <v>1314</v>
      </c>
      <c r="B1" s="1436"/>
      <c r="C1" s="1436"/>
      <c r="D1" s="1436"/>
      <c r="E1" s="1436"/>
      <c r="F1" s="1436"/>
      <c r="G1" s="1436"/>
      <c r="H1" s="1436"/>
      <c r="I1" s="1436"/>
    </row>
    <row r="2" spans="1:9" ht="14.25" thickBot="1">
      <c r="A2" s="972"/>
      <c r="B2" s="973"/>
      <c r="C2" s="973"/>
      <c r="D2" s="973"/>
      <c r="E2" s="973"/>
      <c r="F2" s="973"/>
      <c r="G2" s="973"/>
      <c r="H2" s="973"/>
      <c r="I2" s="974"/>
    </row>
    <row r="3" spans="1:9" ht="12.75">
      <c r="A3" s="1437" t="s">
        <v>244</v>
      </c>
      <c r="B3" s="1439" t="s">
        <v>1315</v>
      </c>
      <c r="C3" s="1441" t="s">
        <v>1316</v>
      </c>
      <c r="D3" s="1441" t="s">
        <v>1340</v>
      </c>
      <c r="E3" s="1439" t="s">
        <v>1317</v>
      </c>
      <c r="F3" s="1439"/>
      <c r="G3" s="1439"/>
      <c r="H3" s="1439"/>
      <c r="I3" s="1443" t="s">
        <v>151</v>
      </c>
    </row>
    <row r="4" spans="1:9" ht="12.75">
      <c r="A4" s="1438"/>
      <c r="B4" s="1440"/>
      <c r="C4" s="1440"/>
      <c r="D4" s="1442"/>
      <c r="E4" s="975" t="s">
        <v>1110</v>
      </c>
      <c r="F4" s="975" t="s">
        <v>1111</v>
      </c>
      <c r="G4" s="975" t="s">
        <v>1133</v>
      </c>
      <c r="H4" s="976" t="s">
        <v>1478</v>
      </c>
      <c r="I4" s="1444"/>
    </row>
    <row r="5" spans="1:9" ht="12.75">
      <c r="A5" s="977" t="s">
        <v>1318</v>
      </c>
      <c r="B5" s="976" t="s">
        <v>1319</v>
      </c>
      <c r="C5" s="976" t="s">
        <v>1320</v>
      </c>
      <c r="D5" s="976" t="s">
        <v>1321</v>
      </c>
      <c r="E5" s="976" t="s">
        <v>1322</v>
      </c>
      <c r="F5" s="976" t="s">
        <v>1323</v>
      </c>
      <c r="G5" s="976" t="s">
        <v>1324</v>
      </c>
      <c r="H5" s="976" t="s">
        <v>1325</v>
      </c>
      <c r="I5" s="978" t="s">
        <v>1326</v>
      </c>
    </row>
    <row r="6" spans="1:9" ht="32.25" customHeight="1">
      <c r="A6" s="977" t="s">
        <v>246</v>
      </c>
      <c r="B6" s="979" t="s">
        <v>1327</v>
      </c>
      <c r="C6" s="980"/>
      <c r="D6" s="981"/>
      <c r="E6" s="981"/>
      <c r="F6" s="981"/>
      <c r="G6" s="981"/>
      <c r="H6" s="981"/>
      <c r="I6" s="982"/>
    </row>
    <row r="7" spans="1:9" s="945" customFormat="1" ht="36.75" customHeight="1">
      <c r="A7" s="1009" t="s">
        <v>247</v>
      </c>
      <c r="B7" s="979" t="s">
        <v>1328</v>
      </c>
      <c r="C7" s="980"/>
      <c r="D7" s="981">
        <f>+D8+D10</f>
        <v>14923274</v>
      </c>
      <c r="E7" s="981">
        <f>+E8+E10+E9</f>
        <v>31712522</v>
      </c>
      <c r="F7" s="981">
        <f>+F8+F10+F9</f>
        <v>28182624</v>
      </c>
      <c r="G7" s="981">
        <f>+G8+G10+G9</f>
        <v>28182624</v>
      </c>
      <c r="H7" s="981">
        <f>+H8+H10+H9</f>
        <v>472031793</v>
      </c>
      <c r="I7" s="982">
        <f>SUM(D7:H7)</f>
        <v>575032837</v>
      </c>
    </row>
    <row r="8" spans="1:9" s="945" customFormat="1" ht="23.25" customHeight="1">
      <c r="A8" s="1009"/>
      <c r="B8" s="1063" t="s">
        <v>1329</v>
      </c>
      <c r="C8" s="980" t="s">
        <v>1330</v>
      </c>
      <c r="D8" s="1064">
        <v>10547274</v>
      </c>
      <c r="E8" s="1064">
        <v>14063032</v>
      </c>
      <c r="F8" s="1064">
        <v>14063032</v>
      </c>
      <c r="G8" s="1064">
        <v>14063032</v>
      </c>
      <c r="H8" s="1064">
        <v>232040059</v>
      </c>
      <c r="I8" s="982">
        <f>SUM(D8:H8)</f>
        <v>284776429</v>
      </c>
    </row>
    <row r="9" spans="1:9" s="945" customFormat="1" ht="18" customHeight="1">
      <c r="A9" s="1009"/>
      <c r="B9" s="1063" t="s">
        <v>1331</v>
      </c>
      <c r="C9" s="980" t="s">
        <v>1332</v>
      </c>
      <c r="D9" s="1064">
        <v>9743591</v>
      </c>
      <c r="E9" s="1064">
        <f>2435898+9743592</f>
        <v>12179490</v>
      </c>
      <c r="F9" s="1064">
        <v>9743592</v>
      </c>
      <c r="G9" s="1064">
        <v>9743592</v>
      </c>
      <c r="H9" s="1064">
        <v>165641101</v>
      </c>
      <c r="I9" s="982">
        <f>SUM(D9:H9)</f>
        <v>207051366</v>
      </c>
    </row>
    <row r="10" spans="1:9" s="945" customFormat="1" ht="21.75" customHeight="1">
      <c r="A10" s="1009"/>
      <c r="B10" s="1063" t="s">
        <v>1333</v>
      </c>
      <c r="C10" s="980" t="s">
        <v>1332</v>
      </c>
      <c r="D10" s="1064">
        <v>4376000</v>
      </c>
      <c r="E10" s="1064">
        <f>1094000+4376000</f>
        <v>5470000</v>
      </c>
      <c r="F10" s="1064">
        <v>4376000</v>
      </c>
      <c r="G10" s="1064">
        <v>4376000</v>
      </c>
      <c r="H10" s="1064">
        <v>74350633</v>
      </c>
      <c r="I10" s="982">
        <f>SUM(D10:H10)</f>
        <v>92948633</v>
      </c>
    </row>
    <row r="11" spans="1:9" s="945" customFormat="1" ht="21" customHeight="1">
      <c r="A11" s="1009" t="s">
        <v>248</v>
      </c>
      <c r="B11" s="979" t="s">
        <v>1334</v>
      </c>
      <c r="C11" s="980"/>
      <c r="D11" s="981">
        <f aca="true" t="shared" si="0" ref="D11:I11">+D12</f>
        <v>335881721</v>
      </c>
      <c r="E11" s="981">
        <f t="shared" si="0"/>
        <v>62187487</v>
      </c>
      <c r="F11" s="981">
        <f t="shared" si="0"/>
        <v>0</v>
      </c>
      <c r="G11" s="981">
        <f t="shared" si="0"/>
        <v>0</v>
      </c>
      <c r="H11" s="981">
        <f t="shared" si="0"/>
        <v>0</v>
      </c>
      <c r="I11" s="981">
        <f t="shared" si="0"/>
        <v>398069208</v>
      </c>
    </row>
    <row r="12" spans="1:9" s="945" customFormat="1" ht="45.75" customHeight="1">
      <c r="A12" s="1009"/>
      <c r="B12" s="1065" t="s">
        <v>1335</v>
      </c>
      <c r="C12" s="980" t="s">
        <v>1336</v>
      </c>
      <c r="D12" s="981">
        <v>335881721</v>
      </c>
      <c r="E12" s="981">
        <v>62187487</v>
      </c>
      <c r="F12" s="981"/>
      <c r="G12" s="981"/>
      <c r="H12" s="981"/>
      <c r="I12" s="982">
        <f>SUM(D12:H12)</f>
        <v>398069208</v>
      </c>
    </row>
    <row r="13" spans="1:9" ht="20.25" customHeight="1">
      <c r="A13" s="977" t="s">
        <v>249</v>
      </c>
      <c r="B13" s="979" t="s">
        <v>1337</v>
      </c>
      <c r="C13" s="980"/>
      <c r="D13" s="981"/>
      <c r="E13" s="981"/>
      <c r="F13" s="981"/>
      <c r="G13" s="981"/>
      <c r="H13" s="981"/>
      <c r="I13" s="982"/>
    </row>
    <row r="14" spans="1:14" ht="17.25" customHeight="1">
      <c r="A14" s="977" t="s">
        <v>250</v>
      </c>
      <c r="B14" s="979" t="s">
        <v>1338</v>
      </c>
      <c r="C14" s="980"/>
      <c r="D14" s="981"/>
      <c r="E14" s="981"/>
      <c r="F14" s="981"/>
      <c r="G14" s="981"/>
      <c r="H14" s="981"/>
      <c r="I14" s="982"/>
      <c r="N14">
        <f>5111108+15211170</f>
        <v>20322278</v>
      </c>
    </row>
    <row r="15" spans="1:9" ht="23.25" customHeight="1" thickBot="1">
      <c r="A15" s="1434" t="s">
        <v>1339</v>
      </c>
      <c r="B15" s="1435"/>
      <c r="C15" s="983">
        <f aca="true" t="shared" si="1" ref="C15:I15">+C6+C7+C11+C13+C14</f>
        <v>0</v>
      </c>
      <c r="D15" s="983">
        <f>+D6+D7+D11+D13+D14</f>
        <v>350804995</v>
      </c>
      <c r="E15" s="983">
        <f t="shared" si="1"/>
        <v>93900009</v>
      </c>
      <c r="F15" s="983">
        <f t="shared" si="1"/>
        <v>28182624</v>
      </c>
      <c r="G15" s="983">
        <f t="shared" si="1"/>
        <v>28182624</v>
      </c>
      <c r="H15" s="983">
        <f t="shared" si="1"/>
        <v>472031793</v>
      </c>
      <c r="I15" s="984">
        <f t="shared" si="1"/>
        <v>973102045</v>
      </c>
    </row>
  </sheetData>
  <sheetProtection/>
  <mergeCells count="8">
    <mergeCell ref="A15:B1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8" r:id="rId1"/>
  <headerFooter>
    <oddHeader>&amp;C2019. évi költségvetés
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P689"/>
  <sheetViews>
    <sheetView view="pageBreakPreview" zoomScaleSheetLayoutView="100" zoomScalePageLayoutView="0" workbookViewId="0" topLeftCell="A1">
      <selection activeCell="C20" sqref="C20"/>
    </sheetView>
  </sheetViews>
  <sheetFormatPr defaultColWidth="12.375" defaultRowHeight="12.75"/>
  <cols>
    <col min="1" max="1" width="25.625" style="823" bestFit="1" customWidth="1"/>
    <col min="2" max="4" width="26.125" style="823" bestFit="1" customWidth="1"/>
    <col min="5" max="5" width="16.375" style="823" bestFit="1" customWidth="1"/>
    <col min="6" max="6" width="21.875" style="823" customWidth="1"/>
    <col min="7" max="16384" width="12.375" style="823" customWidth="1"/>
  </cols>
  <sheetData>
    <row r="1" spans="1:94" s="816" customFormat="1" ht="29.25" customHeight="1">
      <c r="A1" s="1446" t="s">
        <v>1112</v>
      </c>
      <c r="B1" s="1446"/>
      <c r="C1" s="1446"/>
      <c r="D1" s="1446"/>
      <c r="E1" s="1446"/>
      <c r="F1" s="814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5"/>
      <c r="AQ1" s="815"/>
      <c r="AR1" s="815"/>
      <c r="AS1" s="815"/>
      <c r="AT1" s="815"/>
      <c r="AU1" s="815"/>
      <c r="AV1" s="815"/>
      <c r="AW1" s="815"/>
      <c r="AX1" s="815"/>
      <c r="AY1" s="815"/>
      <c r="AZ1" s="815"/>
      <c r="BA1" s="815"/>
      <c r="BB1" s="815"/>
      <c r="BC1" s="815"/>
      <c r="BD1" s="815"/>
      <c r="BE1" s="815"/>
      <c r="BF1" s="815"/>
      <c r="BG1" s="815"/>
      <c r="BH1" s="815"/>
      <c r="BI1" s="815"/>
      <c r="BJ1" s="815"/>
      <c r="BK1" s="815"/>
      <c r="BL1" s="815"/>
      <c r="BM1" s="815"/>
      <c r="BN1" s="815"/>
      <c r="BO1" s="815"/>
      <c r="BP1" s="815"/>
      <c r="BQ1" s="815"/>
      <c r="BR1" s="815"/>
      <c r="BS1" s="815"/>
      <c r="BT1" s="815"/>
      <c r="BU1" s="815"/>
      <c r="BV1" s="815"/>
      <c r="BW1" s="815"/>
      <c r="BX1" s="815"/>
      <c r="BY1" s="815"/>
      <c r="BZ1" s="815"/>
      <c r="CA1" s="815"/>
      <c r="CB1" s="815"/>
      <c r="CC1" s="815"/>
      <c r="CD1" s="815"/>
      <c r="CE1" s="815"/>
      <c r="CF1" s="815"/>
      <c r="CG1" s="815"/>
      <c r="CH1" s="815"/>
      <c r="CI1" s="815"/>
      <c r="CJ1" s="815"/>
      <c r="CK1" s="815"/>
      <c r="CL1" s="815"/>
      <c r="CM1" s="815"/>
      <c r="CN1" s="815"/>
      <c r="CO1" s="815"/>
      <c r="CP1" s="815"/>
    </row>
    <row r="2" spans="1:6" s="815" customFormat="1" ht="14.25" customHeight="1">
      <c r="A2" s="1447"/>
      <c r="B2" s="1447"/>
      <c r="C2" s="1447"/>
      <c r="D2" s="1447"/>
      <c r="E2" s="1447"/>
      <c r="F2" s="1447"/>
    </row>
    <row r="3" spans="1:6" s="815" customFormat="1" ht="11.25" customHeight="1">
      <c r="A3" s="817"/>
      <c r="E3" s="818"/>
      <c r="F3" s="819"/>
    </row>
    <row r="4" s="815" customFormat="1" ht="3" customHeight="1" thickBot="1">
      <c r="F4" s="818"/>
    </row>
    <row r="5" spans="1:94" s="822" customFormat="1" ht="37.5" customHeight="1">
      <c r="A5" s="1448" t="s">
        <v>3</v>
      </c>
      <c r="B5" s="1449" t="s">
        <v>1113</v>
      </c>
      <c r="C5" s="1449"/>
      <c r="D5" s="1449"/>
      <c r="E5" s="1450" t="s">
        <v>1114</v>
      </c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815"/>
      <c r="AO5" s="815"/>
      <c r="AP5" s="815"/>
      <c r="AQ5" s="815"/>
      <c r="AR5" s="815"/>
      <c r="AS5" s="815"/>
      <c r="AT5" s="815"/>
      <c r="AU5" s="815"/>
      <c r="AV5" s="815"/>
      <c r="AW5" s="815"/>
      <c r="AX5" s="815"/>
      <c r="AY5" s="815"/>
      <c r="AZ5" s="815"/>
      <c r="BA5" s="815"/>
      <c r="BB5" s="815"/>
      <c r="BC5" s="815"/>
      <c r="BD5" s="815"/>
      <c r="BE5" s="815"/>
      <c r="BF5" s="815"/>
      <c r="BG5" s="815"/>
      <c r="BH5" s="815"/>
      <c r="BI5" s="815"/>
      <c r="BJ5" s="815"/>
      <c r="BK5" s="815"/>
      <c r="BL5" s="815"/>
      <c r="BM5" s="815"/>
      <c r="BN5" s="815"/>
      <c r="BO5" s="815"/>
      <c r="BP5" s="815"/>
      <c r="BQ5" s="815"/>
      <c r="BR5" s="815"/>
      <c r="BS5" s="815"/>
      <c r="BT5" s="815"/>
      <c r="BU5" s="815"/>
      <c r="BV5" s="815"/>
      <c r="BW5" s="815"/>
      <c r="BX5" s="815"/>
      <c r="BY5" s="815"/>
      <c r="BZ5" s="815"/>
      <c r="CA5" s="815"/>
      <c r="CB5" s="815"/>
      <c r="CC5" s="815"/>
      <c r="CD5" s="815"/>
      <c r="CE5" s="815"/>
      <c r="CF5" s="815"/>
      <c r="CG5" s="815"/>
      <c r="CH5" s="815"/>
      <c r="CI5" s="815"/>
      <c r="CJ5" s="815"/>
      <c r="CK5" s="815"/>
      <c r="CL5" s="815"/>
      <c r="CM5" s="815"/>
      <c r="CN5" s="815"/>
      <c r="CO5" s="815"/>
      <c r="CP5" s="815"/>
    </row>
    <row r="6" spans="1:94" ht="24.75" customHeight="1">
      <c r="A6" s="1448"/>
      <c r="B6" s="820" t="s">
        <v>1115</v>
      </c>
      <c r="C6" s="820" t="s">
        <v>1115</v>
      </c>
      <c r="D6" s="820" t="s">
        <v>1115</v>
      </c>
      <c r="E6" s="1450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  <c r="AA6" s="815"/>
      <c r="AB6" s="815"/>
      <c r="AC6" s="815"/>
      <c r="AD6" s="815"/>
      <c r="AE6" s="815"/>
      <c r="AF6" s="815"/>
      <c r="AG6" s="815"/>
      <c r="AH6" s="815"/>
      <c r="AI6" s="815"/>
      <c r="AJ6" s="815"/>
      <c r="AK6" s="815"/>
      <c r="AL6" s="815"/>
      <c r="AM6" s="815"/>
      <c r="AN6" s="815"/>
      <c r="AO6" s="815"/>
      <c r="AP6" s="815"/>
      <c r="AQ6" s="815"/>
      <c r="AR6" s="815"/>
      <c r="AS6" s="815"/>
      <c r="AT6" s="815"/>
      <c r="AU6" s="815"/>
      <c r="AV6" s="815"/>
      <c r="AW6" s="815"/>
      <c r="AX6" s="815"/>
      <c r="AY6" s="815"/>
      <c r="AZ6" s="815"/>
      <c r="BA6" s="815"/>
      <c r="BB6" s="815"/>
      <c r="BC6" s="815"/>
      <c r="BD6" s="815"/>
      <c r="BE6" s="815"/>
      <c r="BF6" s="815"/>
      <c r="BG6" s="815"/>
      <c r="BH6" s="815"/>
      <c r="BI6" s="815"/>
      <c r="BJ6" s="815"/>
      <c r="BK6" s="815"/>
      <c r="BL6" s="815"/>
      <c r="BM6" s="815"/>
      <c r="BN6" s="815"/>
      <c r="BO6" s="815"/>
      <c r="BP6" s="815"/>
      <c r="BQ6" s="815"/>
      <c r="BR6" s="815"/>
      <c r="BS6" s="815"/>
      <c r="BT6" s="815"/>
      <c r="BU6" s="815"/>
      <c r="BV6" s="815"/>
      <c r="BW6" s="815"/>
      <c r="BX6" s="815"/>
      <c r="BY6" s="815"/>
      <c r="BZ6" s="815"/>
      <c r="CA6" s="815"/>
      <c r="CB6" s="815"/>
      <c r="CC6" s="815"/>
      <c r="CD6" s="815"/>
      <c r="CE6" s="815"/>
      <c r="CF6" s="815"/>
      <c r="CG6" s="815"/>
      <c r="CH6" s="815"/>
      <c r="CI6" s="815"/>
      <c r="CJ6" s="815"/>
      <c r="CK6" s="815"/>
      <c r="CL6" s="815"/>
      <c r="CM6" s="815"/>
      <c r="CN6" s="815"/>
      <c r="CO6" s="815"/>
      <c r="CP6" s="815"/>
    </row>
    <row r="7" spans="1:94" s="825" customFormat="1" ht="16.5" customHeight="1" thickBot="1">
      <c r="A7" s="1448"/>
      <c r="B7" s="824">
        <f>360000000-10507432</f>
        <v>349492568</v>
      </c>
      <c r="C7" s="824">
        <v>207051367</v>
      </c>
      <c r="D7" s="824">
        <v>92948633</v>
      </c>
      <c r="E7" s="1451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5"/>
      <c r="Y7" s="815"/>
      <c r="Z7" s="815"/>
      <c r="AA7" s="815"/>
      <c r="AB7" s="815"/>
      <c r="AC7" s="815"/>
      <c r="AD7" s="815"/>
      <c r="AE7" s="815"/>
      <c r="AF7" s="815"/>
      <c r="AG7" s="815"/>
      <c r="AH7" s="815"/>
      <c r="AI7" s="815"/>
      <c r="AJ7" s="815"/>
      <c r="AK7" s="815"/>
      <c r="AL7" s="815"/>
      <c r="AM7" s="815"/>
      <c r="AN7" s="815"/>
      <c r="AO7" s="815"/>
      <c r="AP7" s="815"/>
      <c r="AQ7" s="815"/>
      <c r="AR7" s="815"/>
      <c r="AS7" s="815"/>
      <c r="AT7" s="815"/>
      <c r="AU7" s="815"/>
      <c r="AV7" s="815"/>
      <c r="AW7" s="815"/>
      <c r="AX7" s="815"/>
      <c r="AY7" s="815"/>
      <c r="AZ7" s="815"/>
      <c r="BA7" s="815"/>
      <c r="BB7" s="815"/>
      <c r="BC7" s="815"/>
      <c r="BD7" s="815"/>
      <c r="BE7" s="815"/>
      <c r="BF7" s="815"/>
      <c r="BG7" s="815"/>
      <c r="BH7" s="815"/>
      <c r="BI7" s="815"/>
      <c r="BJ7" s="815"/>
      <c r="BK7" s="815"/>
      <c r="BL7" s="815"/>
      <c r="BM7" s="815"/>
      <c r="BN7" s="815"/>
      <c r="BO7" s="815"/>
      <c r="BP7" s="815"/>
      <c r="BQ7" s="815"/>
      <c r="BR7" s="815"/>
      <c r="BS7" s="815"/>
      <c r="BT7" s="815"/>
      <c r="BU7" s="815"/>
      <c r="BV7" s="815"/>
      <c r="BW7" s="815"/>
      <c r="BX7" s="815"/>
      <c r="BY7" s="815"/>
      <c r="BZ7" s="815"/>
      <c r="CA7" s="815"/>
      <c r="CB7" s="815"/>
      <c r="CC7" s="815"/>
      <c r="CD7" s="815"/>
      <c r="CE7" s="815"/>
      <c r="CF7" s="815"/>
      <c r="CG7" s="815"/>
      <c r="CH7" s="815"/>
      <c r="CI7" s="815"/>
      <c r="CJ7" s="815"/>
      <c r="CK7" s="815"/>
      <c r="CL7" s="815"/>
      <c r="CM7" s="815"/>
      <c r="CN7" s="815"/>
      <c r="CO7" s="815"/>
      <c r="CP7" s="815"/>
    </row>
    <row r="8" spans="1:94" s="828" customFormat="1" ht="45" customHeight="1">
      <c r="A8" s="826" t="s">
        <v>1116</v>
      </c>
      <c r="B8" s="827" t="s">
        <v>1117</v>
      </c>
      <c r="C8" s="827" t="s">
        <v>1118</v>
      </c>
      <c r="D8" s="827" t="s">
        <v>1119</v>
      </c>
      <c r="E8" s="1452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5"/>
      <c r="AD8" s="815"/>
      <c r="AE8" s="815"/>
      <c r="AF8" s="815"/>
      <c r="AG8" s="815"/>
      <c r="AH8" s="815"/>
      <c r="AI8" s="815"/>
      <c r="AJ8" s="815"/>
      <c r="AK8" s="815"/>
      <c r="AL8" s="815"/>
      <c r="AM8" s="815"/>
      <c r="AN8" s="815"/>
      <c r="AO8" s="815"/>
      <c r="AP8" s="815"/>
      <c r="AQ8" s="815"/>
      <c r="AR8" s="815"/>
      <c r="AS8" s="815"/>
      <c r="AT8" s="815"/>
      <c r="AU8" s="815"/>
      <c r="AV8" s="815"/>
      <c r="AW8" s="815"/>
      <c r="AX8" s="815"/>
      <c r="AY8" s="815"/>
      <c r="AZ8" s="815"/>
      <c r="BA8" s="815"/>
      <c r="BB8" s="815"/>
      <c r="BC8" s="815"/>
      <c r="BD8" s="815"/>
      <c r="BE8" s="815"/>
      <c r="BF8" s="815"/>
      <c r="BG8" s="815"/>
      <c r="BH8" s="815"/>
      <c r="BI8" s="815"/>
      <c r="BJ8" s="815"/>
      <c r="BK8" s="815"/>
      <c r="BL8" s="815"/>
      <c r="BM8" s="815"/>
      <c r="BN8" s="815"/>
      <c r="BO8" s="815"/>
      <c r="BP8" s="815"/>
      <c r="BQ8" s="815"/>
      <c r="BR8" s="815"/>
      <c r="BS8" s="815"/>
      <c r="BT8" s="815"/>
      <c r="BU8" s="815"/>
      <c r="BV8" s="815"/>
      <c r="BW8" s="815"/>
      <c r="BX8" s="815"/>
      <c r="BY8" s="815"/>
      <c r="BZ8" s="815"/>
      <c r="CA8" s="815"/>
      <c r="CB8" s="815"/>
      <c r="CC8" s="815"/>
      <c r="CD8" s="815"/>
      <c r="CE8" s="815"/>
      <c r="CF8" s="815"/>
      <c r="CG8" s="815"/>
      <c r="CH8" s="815"/>
      <c r="CI8" s="815"/>
      <c r="CJ8" s="815"/>
      <c r="CK8" s="815"/>
      <c r="CL8" s="815"/>
      <c r="CM8" s="815"/>
      <c r="CN8" s="815"/>
      <c r="CO8" s="815"/>
      <c r="CP8" s="815"/>
    </row>
    <row r="9" spans="1:94" s="828" customFormat="1" ht="22.5" customHeight="1">
      <c r="A9" s="826" t="s">
        <v>1120</v>
      </c>
      <c r="B9" s="829">
        <v>41466</v>
      </c>
      <c r="C9" s="829">
        <v>41647</v>
      </c>
      <c r="D9" s="829">
        <v>41647</v>
      </c>
      <c r="E9" s="1452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  <c r="AA9" s="815"/>
      <c r="AB9" s="815"/>
      <c r="AC9" s="815"/>
      <c r="AD9" s="815"/>
      <c r="AE9" s="815"/>
      <c r="AF9" s="815"/>
      <c r="AG9" s="815"/>
      <c r="AH9" s="815"/>
      <c r="AI9" s="815"/>
      <c r="AJ9" s="815"/>
      <c r="AK9" s="815"/>
      <c r="AL9" s="815"/>
      <c r="AM9" s="815"/>
      <c r="AN9" s="815"/>
      <c r="AO9" s="815"/>
      <c r="AP9" s="815"/>
      <c r="AQ9" s="815"/>
      <c r="AR9" s="815"/>
      <c r="AS9" s="815"/>
      <c r="AT9" s="815"/>
      <c r="AU9" s="815"/>
      <c r="AV9" s="815"/>
      <c r="AW9" s="815"/>
      <c r="AX9" s="815"/>
      <c r="AY9" s="815"/>
      <c r="AZ9" s="815"/>
      <c r="BA9" s="815"/>
      <c r="BB9" s="815"/>
      <c r="BC9" s="815"/>
      <c r="BD9" s="815"/>
      <c r="BE9" s="815"/>
      <c r="BF9" s="815"/>
      <c r="BG9" s="815"/>
      <c r="BH9" s="815"/>
      <c r="BI9" s="815"/>
      <c r="BJ9" s="815"/>
      <c r="BK9" s="815"/>
      <c r="BL9" s="815"/>
      <c r="BM9" s="815"/>
      <c r="BN9" s="815"/>
      <c r="BO9" s="815"/>
      <c r="BP9" s="815"/>
      <c r="BQ9" s="815"/>
      <c r="BR9" s="815"/>
      <c r="BS9" s="815"/>
      <c r="BT9" s="815"/>
      <c r="BU9" s="815"/>
      <c r="BV9" s="815"/>
      <c r="BW9" s="815"/>
      <c r="BX9" s="815"/>
      <c r="BY9" s="815"/>
      <c r="BZ9" s="815"/>
      <c r="CA9" s="815"/>
      <c r="CB9" s="815"/>
      <c r="CC9" s="815"/>
      <c r="CD9" s="815"/>
      <c r="CE9" s="815"/>
      <c r="CF9" s="815"/>
      <c r="CG9" s="815"/>
      <c r="CH9" s="815"/>
      <c r="CI9" s="815"/>
      <c r="CJ9" s="815"/>
      <c r="CK9" s="815"/>
      <c r="CL9" s="815"/>
      <c r="CM9" s="815"/>
      <c r="CN9" s="815"/>
      <c r="CO9" s="815"/>
      <c r="CP9" s="815"/>
    </row>
    <row r="10" spans="1:94" s="828" customFormat="1" ht="18" customHeight="1">
      <c r="A10" s="830" t="s">
        <v>1121</v>
      </c>
      <c r="B10" s="831"/>
      <c r="C10" s="831"/>
      <c r="D10" s="831"/>
      <c r="E10" s="1452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  <c r="V10" s="815"/>
      <c r="W10" s="815"/>
      <c r="X10" s="815"/>
      <c r="Y10" s="815"/>
      <c r="Z10" s="815"/>
      <c r="AA10" s="815"/>
      <c r="AB10" s="815"/>
      <c r="AC10" s="815"/>
      <c r="AD10" s="815"/>
      <c r="AE10" s="815"/>
      <c r="AF10" s="815"/>
      <c r="AG10" s="815"/>
      <c r="AH10" s="815"/>
      <c r="AI10" s="815"/>
      <c r="AJ10" s="815"/>
      <c r="AK10" s="815"/>
      <c r="AL10" s="815"/>
      <c r="AM10" s="815"/>
      <c r="AN10" s="815"/>
      <c r="AO10" s="815"/>
      <c r="AP10" s="815"/>
      <c r="AQ10" s="815"/>
      <c r="AR10" s="815"/>
      <c r="AS10" s="815"/>
      <c r="AT10" s="815"/>
      <c r="AU10" s="815"/>
      <c r="AV10" s="815"/>
      <c r="AW10" s="815"/>
      <c r="AX10" s="815"/>
      <c r="AY10" s="815"/>
      <c r="AZ10" s="815"/>
      <c r="BA10" s="815"/>
      <c r="BB10" s="815"/>
      <c r="BC10" s="815"/>
      <c r="BD10" s="815"/>
      <c r="BE10" s="815"/>
      <c r="BF10" s="815"/>
      <c r="BG10" s="815"/>
      <c r="BH10" s="815"/>
      <c r="BI10" s="815"/>
      <c r="BJ10" s="815"/>
      <c r="BK10" s="815"/>
      <c r="BL10" s="815"/>
      <c r="BM10" s="815"/>
      <c r="BN10" s="815"/>
      <c r="BO10" s="815"/>
      <c r="BP10" s="815"/>
      <c r="BQ10" s="815"/>
      <c r="BR10" s="815"/>
      <c r="BS10" s="815"/>
      <c r="BT10" s="815"/>
      <c r="BU10" s="815"/>
      <c r="BV10" s="815"/>
      <c r="BW10" s="815"/>
      <c r="BX10" s="815"/>
      <c r="BY10" s="815"/>
      <c r="BZ10" s="815"/>
      <c r="CA10" s="815"/>
      <c r="CB10" s="815"/>
      <c r="CC10" s="815"/>
      <c r="CD10" s="815"/>
      <c r="CE10" s="815"/>
      <c r="CF10" s="815"/>
      <c r="CG10" s="815"/>
      <c r="CH10" s="815"/>
      <c r="CI10" s="815"/>
      <c r="CJ10" s="815"/>
      <c r="CK10" s="815"/>
      <c r="CL10" s="815"/>
      <c r="CM10" s="815"/>
      <c r="CN10" s="815"/>
      <c r="CO10" s="815"/>
      <c r="CP10" s="815"/>
    </row>
    <row r="11" spans="1:94" s="828" customFormat="1" ht="13.5" customHeight="1">
      <c r="A11" s="832" t="s">
        <v>1122</v>
      </c>
      <c r="B11" s="833" t="s">
        <v>1123</v>
      </c>
      <c r="C11" s="833" t="s">
        <v>1124</v>
      </c>
      <c r="D11" s="833" t="s">
        <v>1124</v>
      </c>
      <c r="E11" s="1452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5"/>
      <c r="AK11" s="815"/>
      <c r="AL11" s="815"/>
      <c r="AM11" s="815"/>
      <c r="AN11" s="815"/>
      <c r="AO11" s="815"/>
      <c r="AP11" s="815"/>
      <c r="AQ11" s="815"/>
      <c r="AR11" s="815"/>
      <c r="AS11" s="815"/>
      <c r="AT11" s="815"/>
      <c r="AU11" s="815"/>
      <c r="AV11" s="815"/>
      <c r="AW11" s="815"/>
      <c r="AX11" s="815"/>
      <c r="AY11" s="815"/>
      <c r="AZ11" s="815"/>
      <c r="BA11" s="815"/>
      <c r="BB11" s="815"/>
      <c r="BC11" s="815"/>
      <c r="BD11" s="815"/>
      <c r="BE11" s="815"/>
      <c r="BF11" s="815"/>
      <c r="BG11" s="815"/>
      <c r="BH11" s="815"/>
      <c r="BI11" s="815"/>
      <c r="BJ11" s="815"/>
      <c r="BK11" s="815"/>
      <c r="BL11" s="815"/>
      <c r="BM11" s="815"/>
      <c r="BN11" s="815"/>
      <c r="BO11" s="815"/>
      <c r="BP11" s="815"/>
      <c r="BQ11" s="815"/>
      <c r="BR11" s="815"/>
      <c r="BS11" s="815"/>
      <c r="BT11" s="815"/>
      <c r="BU11" s="815"/>
      <c r="BV11" s="815"/>
      <c r="BW11" s="815"/>
      <c r="BX11" s="815"/>
      <c r="BY11" s="815"/>
      <c r="BZ11" s="815"/>
      <c r="CA11" s="815"/>
      <c r="CB11" s="815"/>
      <c r="CC11" s="815"/>
      <c r="CD11" s="815"/>
      <c r="CE11" s="815"/>
      <c r="CF11" s="815"/>
      <c r="CG11" s="815"/>
      <c r="CH11" s="815"/>
      <c r="CI11" s="815"/>
      <c r="CJ11" s="815"/>
      <c r="CK11" s="815"/>
      <c r="CL11" s="815"/>
      <c r="CM11" s="815"/>
      <c r="CN11" s="815"/>
      <c r="CO11" s="815"/>
      <c r="CP11" s="815"/>
    </row>
    <row r="12" spans="1:94" s="836" customFormat="1" ht="12.75" customHeight="1">
      <c r="A12" s="832" t="s">
        <v>55</v>
      </c>
      <c r="B12" s="834" t="s">
        <v>246</v>
      </c>
      <c r="C12" s="834" t="s">
        <v>247</v>
      </c>
      <c r="D12" s="834" t="s">
        <v>248</v>
      </c>
      <c r="E12" s="1452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835"/>
      <c r="AJ12" s="835"/>
      <c r="AK12" s="835"/>
      <c r="AL12" s="835"/>
      <c r="AM12" s="835"/>
      <c r="AN12" s="835"/>
      <c r="AO12" s="835"/>
      <c r="AP12" s="835"/>
      <c r="AQ12" s="835"/>
      <c r="AR12" s="835"/>
      <c r="AS12" s="835"/>
      <c r="AT12" s="835"/>
      <c r="AU12" s="835"/>
      <c r="AV12" s="835"/>
      <c r="AW12" s="835"/>
      <c r="AX12" s="835"/>
      <c r="AY12" s="835"/>
      <c r="AZ12" s="835"/>
      <c r="BA12" s="835"/>
      <c r="BB12" s="835"/>
      <c r="BC12" s="835"/>
      <c r="BD12" s="835"/>
      <c r="BE12" s="835"/>
      <c r="BF12" s="835"/>
      <c r="BG12" s="835"/>
      <c r="BH12" s="835"/>
      <c r="BI12" s="835"/>
      <c r="BJ12" s="835"/>
      <c r="BK12" s="835"/>
      <c r="BL12" s="835"/>
      <c r="BM12" s="835"/>
      <c r="BN12" s="835"/>
      <c r="BO12" s="835"/>
      <c r="BP12" s="835"/>
      <c r="BQ12" s="835"/>
      <c r="BR12" s="835"/>
      <c r="BS12" s="835"/>
      <c r="BT12" s="835"/>
      <c r="BU12" s="835"/>
      <c r="BV12" s="835"/>
      <c r="BW12" s="835"/>
      <c r="BX12" s="835"/>
      <c r="BY12" s="835"/>
      <c r="BZ12" s="835"/>
      <c r="CA12" s="835"/>
      <c r="CB12" s="835"/>
      <c r="CC12" s="835"/>
      <c r="CD12" s="835"/>
      <c r="CE12" s="835"/>
      <c r="CF12" s="835"/>
      <c r="CG12" s="835"/>
      <c r="CH12" s="835"/>
      <c r="CI12" s="835"/>
      <c r="CJ12" s="835"/>
      <c r="CK12" s="835"/>
      <c r="CL12" s="835"/>
      <c r="CM12" s="835"/>
      <c r="CN12" s="835"/>
      <c r="CO12" s="835"/>
      <c r="CP12" s="835"/>
    </row>
    <row r="13" spans="1:94" s="839" customFormat="1" ht="31.5" customHeight="1">
      <c r="A13" s="820" t="s">
        <v>1125</v>
      </c>
      <c r="B13" s="837" t="s">
        <v>1126</v>
      </c>
      <c r="C13" s="837" t="s">
        <v>1126</v>
      </c>
      <c r="D13" s="837" t="s">
        <v>1126</v>
      </c>
      <c r="E13" s="1452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838"/>
      <c r="AI13" s="838"/>
      <c r="AJ13" s="838"/>
      <c r="AK13" s="838"/>
      <c r="AL13" s="838"/>
      <c r="AM13" s="838"/>
      <c r="AN13" s="838"/>
      <c r="AO13" s="838"/>
      <c r="AP13" s="838"/>
      <c r="AQ13" s="838"/>
      <c r="AR13" s="838"/>
      <c r="AS13" s="838"/>
      <c r="AT13" s="838"/>
      <c r="AU13" s="838"/>
      <c r="AV13" s="838"/>
      <c r="AW13" s="838"/>
      <c r="AX13" s="838"/>
      <c r="AY13" s="838"/>
      <c r="AZ13" s="838"/>
      <c r="BA13" s="838"/>
      <c r="BB13" s="838"/>
      <c r="BC13" s="838"/>
      <c r="BD13" s="838"/>
      <c r="BE13" s="838"/>
      <c r="BF13" s="838"/>
      <c r="BG13" s="838"/>
      <c r="BH13" s="838"/>
      <c r="BI13" s="838"/>
      <c r="BJ13" s="838"/>
      <c r="BK13" s="838"/>
      <c r="BL13" s="838"/>
      <c r="BM13" s="838"/>
      <c r="BN13" s="838"/>
      <c r="BO13" s="838"/>
      <c r="BP13" s="838"/>
      <c r="BQ13" s="838"/>
      <c r="BR13" s="838"/>
      <c r="BS13" s="838"/>
      <c r="BT13" s="838"/>
      <c r="BU13" s="838"/>
      <c r="BV13" s="838"/>
      <c r="BW13" s="838"/>
      <c r="BX13" s="838"/>
      <c r="BY13" s="838"/>
      <c r="BZ13" s="838"/>
      <c r="CA13" s="838"/>
      <c r="CB13" s="838"/>
      <c r="CC13" s="838"/>
      <c r="CD13" s="838"/>
      <c r="CE13" s="838"/>
      <c r="CF13" s="838"/>
      <c r="CG13" s="838"/>
      <c r="CH13" s="838"/>
      <c r="CI13" s="838"/>
      <c r="CJ13" s="838"/>
      <c r="CK13" s="838"/>
      <c r="CL13" s="838"/>
      <c r="CM13" s="838"/>
      <c r="CN13" s="838"/>
      <c r="CO13" s="838"/>
      <c r="CP13" s="838"/>
    </row>
    <row r="14" spans="1:94" s="839" customFormat="1" ht="44.25" customHeight="1">
      <c r="A14" s="840" t="s">
        <v>1127</v>
      </c>
      <c r="B14" s="821"/>
      <c r="C14" s="821"/>
      <c r="D14" s="821"/>
      <c r="E14" s="1453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838"/>
      <c r="Y14" s="838"/>
      <c r="Z14" s="838"/>
      <c r="AA14" s="838"/>
      <c r="AB14" s="838"/>
      <c r="AC14" s="838"/>
      <c r="AD14" s="838"/>
      <c r="AE14" s="838"/>
      <c r="AF14" s="838"/>
      <c r="AG14" s="838"/>
      <c r="AH14" s="838"/>
      <c r="AI14" s="838"/>
      <c r="AJ14" s="838"/>
      <c r="AK14" s="838"/>
      <c r="AL14" s="838"/>
      <c r="AM14" s="838"/>
      <c r="AN14" s="838"/>
      <c r="AO14" s="838"/>
      <c r="AP14" s="838"/>
      <c r="AQ14" s="838"/>
      <c r="AR14" s="838"/>
      <c r="AS14" s="838"/>
      <c r="AT14" s="838"/>
      <c r="AU14" s="838"/>
      <c r="AV14" s="838"/>
      <c r="AW14" s="838"/>
      <c r="AX14" s="838"/>
      <c r="AY14" s="838"/>
      <c r="AZ14" s="838"/>
      <c r="BA14" s="838"/>
      <c r="BB14" s="838"/>
      <c r="BC14" s="838"/>
      <c r="BD14" s="838"/>
      <c r="BE14" s="838"/>
      <c r="BF14" s="838"/>
      <c r="BG14" s="838"/>
      <c r="BH14" s="838"/>
      <c r="BI14" s="838"/>
      <c r="BJ14" s="838"/>
      <c r="BK14" s="838"/>
      <c r="BL14" s="838"/>
      <c r="BM14" s="838"/>
      <c r="BN14" s="838"/>
      <c r="BO14" s="838"/>
      <c r="BP14" s="838"/>
      <c r="BQ14" s="838"/>
      <c r="BR14" s="838"/>
      <c r="BS14" s="838"/>
      <c r="BT14" s="838"/>
      <c r="BU14" s="838"/>
      <c r="BV14" s="838"/>
      <c r="BW14" s="838"/>
      <c r="BX14" s="838"/>
      <c r="BY14" s="838"/>
      <c r="BZ14" s="838"/>
      <c r="CA14" s="838"/>
      <c r="CB14" s="838"/>
      <c r="CC14" s="838"/>
      <c r="CD14" s="838"/>
      <c r="CE14" s="838"/>
      <c r="CF14" s="838"/>
      <c r="CG14" s="838"/>
      <c r="CH14" s="838"/>
      <c r="CI14" s="838"/>
      <c r="CJ14" s="838"/>
      <c r="CK14" s="838"/>
      <c r="CL14" s="838"/>
      <c r="CM14" s="838"/>
      <c r="CN14" s="838"/>
      <c r="CO14" s="838"/>
      <c r="CP14" s="838"/>
    </row>
    <row r="15" spans="1:94" s="842" customFormat="1" ht="14.25" customHeight="1">
      <c r="A15" s="841" t="s">
        <v>1128</v>
      </c>
      <c r="B15" s="841"/>
      <c r="C15" s="841"/>
      <c r="D15" s="841"/>
      <c r="E15" s="841" t="s">
        <v>1129</v>
      </c>
      <c r="F15" s="838"/>
      <c r="G15" s="838"/>
      <c r="H15" s="838"/>
      <c r="I15" s="838"/>
      <c r="J15" s="838"/>
      <c r="K15" s="838"/>
      <c r="L15" s="838"/>
      <c r="M15" s="838"/>
      <c r="N15" s="838"/>
      <c r="O15" s="838"/>
      <c r="P15" s="838"/>
      <c r="Q15" s="838"/>
      <c r="R15" s="838"/>
      <c r="S15" s="838"/>
      <c r="T15" s="838"/>
      <c r="U15" s="838"/>
      <c r="V15" s="838"/>
      <c r="W15" s="838"/>
      <c r="X15" s="838"/>
      <c r="Y15" s="838"/>
      <c r="Z15" s="838"/>
      <c r="AA15" s="838"/>
      <c r="AB15" s="838"/>
      <c r="AC15" s="838"/>
      <c r="AD15" s="838"/>
      <c r="AE15" s="838"/>
      <c r="AF15" s="838"/>
      <c r="AG15" s="838"/>
      <c r="AH15" s="838"/>
      <c r="AI15" s="838"/>
      <c r="AJ15" s="838"/>
      <c r="AK15" s="838"/>
      <c r="AL15" s="838"/>
      <c r="AM15" s="838"/>
      <c r="AN15" s="838"/>
      <c r="AO15" s="838"/>
      <c r="AP15" s="838"/>
      <c r="AQ15" s="838"/>
      <c r="AR15" s="838"/>
      <c r="AS15" s="838"/>
      <c r="AT15" s="838"/>
      <c r="AU15" s="838"/>
      <c r="AV15" s="838"/>
      <c r="AW15" s="838"/>
      <c r="AX15" s="838"/>
      <c r="AY15" s="838"/>
      <c r="AZ15" s="838"/>
      <c r="BA15" s="838"/>
      <c r="BB15" s="838"/>
      <c r="BC15" s="838"/>
      <c r="BD15" s="838"/>
      <c r="BE15" s="838"/>
      <c r="BF15" s="838"/>
      <c r="BG15" s="838"/>
      <c r="BH15" s="838"/>
      <c r="BI15" s="838"/>
      <c r="BJ15" s="838"/>
      <c r="BK15" s="838"/>
      <c r="BL15" s="838"/>
      <c r="BM15" s="838"/>
      <c r="BN15" s="838"/>
      <c r="BO15" s="838"/>
      <c r="BP15" s="838"/>
      <c r="BQ15" s="838"/>
      <c r="BR15" s="838"/>
      <c r="BS15" s="838"/>
      <c r="BT15" s="838"/>
      <c r="BU15" s="838"/>
      <c r="BV15" s="838"/>
      <c r="BW15" s="838"/>
      <c r="BX15" s="838"/>
      <c r="BY15" s="838"/>
      <c r="BZ15" s="838"/>
      <c r="CA15" s="838"/>
      <c r="CB15" s="838"/>
      <c r="CC15" s="838"/>
      <c r="CD15" s="838"/>
      <c r="CE15" s="838"/>
      <c r="CF15" s="838"/>
      <c r="CG15" s="838"/>
      <c r="CH15" s="838"/>
      <c r="CI15" s="838"/>
      <c r="CJ15" s="838"/>
      <c r="CK15" s="838"/>
      <c r="CL15" s="838"/>
      <c r="CM15" s="838"/>
      <c r="CN15" s="838"/>
      <c r="CO15" s="838"/>
      <c r="CP15" s="838"/>
    </row>
    <row r="16" spans="1:94" ht="15.75" customHeight="1">
      <c r="A16" s="820" t="s">
        <v>1130</v>
      </c>
      <c r="B16" s="843">
        <v>64716139</v>
      </c>
      <c r="C16" s="843"/>
      <c r="D16" s="843"/>
      <c r="E16" s="844">
        <f>SUM(B16:B16)</f>
        <v>64716139</v>
      </c>
      <c r="F16" s="815"/>
      <c r="G16" s="815"/>
      <c r="H16" s="815"/>
      <c r="I16" s="815"/>
      <c r="J16" s="815"/>
      <c r="K16" s="815"/>
      <c r="L16" s="815"/>
      <c r="M16" s="815"/>
      <c r="N16" s="815"/>
      <c r="O16" s="815"/>
      <c r="P16" s="815"/>
      <c r="Q16" s="815"/>
      <c r="R16" s="815"/>
      <c r="S16" s="815"/>
      <c r="T16" s="815"/>
      <c r="U16" s="815"/>
      <c r="V16" s="815"/>
      <c r="W16" s="815"/>
      <c r="X16" s="815"/>
      <c r="Y16" s="815"/>
      <c r="Z16" s="815"/>
      <c r="AA16" s="815"/>
      <c r="AB16" s="815"/>
      <c r="AC16" s="815"/>
      <c r="AD16" s="815"/>
      <c r="AE16" s="815"/>
      <c r="AF16" s="815"/>
      <c r="AG16" s="815"/>
      <c r="AH16" s="815"/>
      <c r="AI16" s="815"/>
      <c r="AJ16" s="815"/>
      <c r="AK16" s="815"/>
      <c r="AL16" s="815"/>
      <c r="AM16" s="815"/>
      <c r="AN16" s="815"/>
      <c r="AO16" s="815"/>
      <c r="AP16" s="815"/>
      <c r="AQ16" s="815"/>
      <c r="AR16" s="815"/>
      <c r="AS16" s="815"/>
      <c r="AT16" s="815"/>
      <c r="AU16" s="815"/>
      <c r="AV16" s="815"/>
      <c r="AW16" s="815"/>
      <c r="AX16" s="815"/>
      <c r="AY16" s="815"/>
      <c r="AZ16" s="815"/>
      <c r="BA16" s="815"/>
      <c r="BB16" s="815"/>
      <c r="BC16" s="815"/>
      <c r="BD16" s="815"/>
      <c r="BE16" s="815"/>
      <c r="BF16" s="815"/>
      <c r="BG16" s="815"/>
      <c r="BH16" s="815"/>
      <c r="BI16" s="815"/>
      <c r="BJ16" s="815"/>
      <c r="BK16" s="815"/>
      <c r="BL16" s="815"/>
      <c r="BM16" s="815"/>
      <c r="BN16" s="815"/>
      <c r="BO16" s="815"/>
      <c r="BP16" s="815"/>
      <c r="BQ16" s="815"/>
      <c r="BR16" s="815"/>
      <c r="BS16" s="815"/>
      <c r="BT16" s="815"/>
      <c r="BU16" s="815"/>
      <c r="BV16" s="815"/>
      <c r="BW16" s="815"/>
      <c r="BX16" s="815"/>
      <c r="BY16" s="815"/>
      <c r="BZ16" s="815"/>
      <c r="CA16" s="815"/>
      <c r="CB16" s="815"/>
      <c r="CC16" s="815"/>
      <c r="CD16" s="815"/>
      <c r="CE16" s="815"/>
      <c r="CF16" s="815"/>
      <c r="CG16" s="815"/>
      <c r="CH16" s="815"/>
      <c r="CI16" s="815"/>
      <c r="CJ16" s="815"/>
      <c r="CK16" s="815"/>
      <c r="CL16" s="815"/>
      <c r="CM16" s="815"/>
      <c r="CN16" s="815"/>
      <c r="CO16" s="815"/>
      <c r="CP16" s="815"/>
    </row>
    <row r="17" spans="1:94" ht="15.75" customHeight="1">
      <c r="A17" s="820" t="s">
        <v>1131</v>
      </c>
      <c r="B17" s="843"/>
      <c r="C17" s="843"/>
      <c r="D17" s="843"/>
      <c r="E17" s="844">
        <f>SUM(B17:B17)</f>
        <v>0</v>
      </c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815"/>
      <c r="Q17" s="815"/>
      <c r="R17" s="815"/>
      <c r="S17" s="815"/>
      <c r="T17" s="815"/>
      <c r="U17" s="815"/>
      <c r="V17" s="815"/>
      <c r="W17" s="815"/>
      <c r="X17" s="815"/>
      <c r="Y17" s="815"/>
      <c r="Z17" s="815"/>
      <c r="AA17" s="815"/>
      <c r="AB17" s="815"/>
      <c r="AC17" s="815"/>
      <c r="AD17" s="815"/>
      <c r="AE17" s="815"/>
      <c r="AF17" s="815"/>
      <c r="AG17" s="815"/>
      <c r="AH17" s="815"/>
      <c r="AI17" s="815"/>
      <c r="AJ17" s="815"/>
      <c r="AK17" s="815"/>
      <c r="AL17" s="815"/>
      <c r="AM17" s="815"/>
      <c r="AN17" s="815"/>
      <c r="AO17" s="815"/>
      <c r="AP17" s="815"/>
      <c r="AQ17" s="815"/>
      <c r="AR17" s="815"/>
      <c r="AS17" s="815"/>
      <c r="AT17" s="815"/>
      <c r="AU17" s="815"/>
      <c r="AV17" s="815"/>
      <c r="AW17" s="815"/>
      <c r="AX17" s="815"/>
      <c r="AY17" s="815"/>
      <c r="AZ17" s="815"/>
      <c r="BA17" s="815"/>
      <c r="BB17" s="815"/>
      <c r="BC17" s="815"/>
      <c r="BD17" s="815"/>
      <c r="BE17" s="815"/>
      <c r="BF17" s="815"/>
      <c r="BG17" s="815"/>
      <c r="BH17" s="815"/>
      <c r="BI17" s="815"/>
      <c r="BJ17" s="815"/>
      <c r="BK17" s="815"/>
      <c r="BL17" s="815"/>
      <c r="BM17" s="815"/>
      <c r="BN17" s="815"/>
      <c r="BO17" s="815"/>
      <c r="BP17" s="815"/>
      <c r="BQ17" s="815"/>
      <c r="BR17" s="815"/>
      <c r="BS17" s="815"/>
      <c r="BT17" s="815"/>
      <c r="BU17" s="815"/>
      <c r="BV17" s="815"/>
      <c r="BW17" s="815"/>
      <c r="BX17" s="815"/>
      <c r="BY17" s="815"/>
      <c r="BZ17" s="815"/>
      <c r="CA17" s="815"/>
      <c r="CB17" s="815"/>
      <c r="CC17" s="815"/>
      <c r="CD17" s="815"/>
      <c r="CE17" s="815"/>
      <c r="CF17" s="815"/>
      <c r="CG17" s="815"/>
      <c r="CH17" s="815"/>
      <c r="CI17" s="815"/>
      <c r="CJ17" s="815"/>
      <c r="CK17" s="815"/>
      <c r="CL17" s="815"/>
      <c r="CM17" s="815"/>
      <c r="CN17" s="815"/>
      <c r="CO17" s="815"/>
      <c r="CP17" s="815"/>
    </row>
    <row r="18" spans="1:94" s="816" customFormat="1" ht="15.75" customHeight="1">
      <c r="A18" s="820" t="s">
        <v>1132</v>
      </c>
      <c r="B18" s="843"/>
      <c r="C18" s="843"/>
      <c r="D18" s="843"/>
      <c r="E18" s="844">
        <f>SUM(B18:B18)</f>
        <v>0</v>
      </c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5"/>
      <c r="AJ18" s="815"/>
      <c r="AK18" s="815"/>
      <c r="AL18" s="815"/>
      <c r="AM18" s="815"/>
      <c r="AN18" s="815"/>
      <c r="AO18" s="815"/>
      <c r="AP18" s="815"/>
      <c r="AQ18" s="815"/>
      <c r="AR18" s="815"/>
      <c r="AS18" s="815"/>
      <c r="AT18" s="815"/>
      <c r="AU18" s="815"/>
      <c r="AV18" s="815"/>
      <c r="AW18" s="815"/>
      <c r="AX18" s="815"/>
      <c r="AY18" s="815"/>
      <c r="AZ18" s="815"/>
      <c r="BA18" s="815"/>
      <c r="BB18" s="815"/>
      <c r="BC18" s="815"/>
      <c r="BD18" s="815"/>
      <c r="BE18" s="815"/>
      <c r="BF18" s="815"/>
      <c r="BG18" s="815"/>
      <c r="BH18" s="815"/>
      <c r="BI18" s="815"/>
      <c r="BJ18" s="815"/>
      <c r="BK18" s="815"/>
      <c r="BL18" s="815"/>
      <c r="BM18" s="815"/>
      <c r="BN18" s="815"/>
      <c r="BO18" s="815"/>
      <c r="BP18" s="815"/>
      <c r="BQ18" s="815"/>
      <c r="BR18" s="815"/>
      <c r="BS18" s="815"/>
      <c r="BT18" s="815"/>
      <c r="BU18" s="815"/>
      <c r="BV18" s="815"/>
      <c r="BW18" s="815"/>
      <c r="BX18" s="815"/>
      <c r="BY18" s="815"/>
      <c r="BZ18" s="815"/>
      <c r="CA18" s="815"/>
      <c r="CB18" s="815"/>
      <c r="CC18" s="815"/>
      <c r="CD18" s="815"/>
      <c r="CE18" s="815"/>
      <c r="CF18" s="815"/>
      <c r="CG18" s="815"/>
      <c r="CH18" s="815"/>
      <c r="CI18" s="815"/>
      <c r="CJ18" s="815"/>
      <c r="CK18" s="815"/>
      <c r="CL18" s="815"/>
      <c r="CM18" s="815"/>
      <c r="CN18" s="815"/>
      <c r="CO18" s="815"/>
      <c r="CP18" s="815"/>
    </row>
    <row r="19" spans="1:94" s="816" customFormat="1" ht="15.75" customHeight="1">
      <c r="A19" s="820" t="s">
        <v>1108</v>
      </c>
      <c r="B19" s="843"/>
      <c r="E19" s="844">
        <f>SUM(B19:D19)</f>
        <v>0</v>
      </c>
      <c r="F19" s="815"/>
      <c r="G19" s="815"/>
      <c r="H19" s="815"/>
      <c r="I19" s="815"/>
      <c r="J19" s="815"/>
      <c r="K19" s="815"/>
      <c r="L19" s="815"/>
      <c r="M19" s="815"/>
      <c r="N19" s="815"/>
      <c r="O19" s="815"/>
      <c r="P19" s="815"/>
      <c r="Q19" s="815"/>
      <c r="R19" s="815"/>
      <c r="S19" s="815"/>
      <c r="T19" s="815"/>
      <c r="U19" s="815"/>
      <c r="V19" s="815"/>
      <c r="W19" s="815"/>
      <c r="X19" s="815"/>
      <c r="Y19" s="815"/>
      <c r="Z19" s="815"/>
      <c r="AA19" s="815"/>
      <c r="AB19" s="815"/>
      <c r="AC19" s="815"/>
      <c r="AD19" s="815"/>
      <c r="AE19" s="815"/>
      <c r="AF19" s="815"/>
      <c r="AG19" s="815"/>
      <c r="AH19" s="815"/>
      <c r="AI19" s="815"/>
      <c r="AJ19" s="815"/>
      <c r="AK19" s="815"/>
      <c r="AL19" s="815"/>
      <c r="AM19" s="815"/>
      <c r="AN19" s="815"/>
      <c r="AO19" s="815"/>
      <c r="AP19" s="815"/>
      <c r="AQ19" s="815"/>
      <c r="AR19" s="815"/>
      <c r="AS19" s="815"/>
      <c r="AT19" s="815"/>
      <c r="AU19" s="815"/>
      <c r="AV19" s="815"/>
      <c r="AW19" s="815"/>
      <c r="AX19" s="815"/>
      <c r="AY19" s="815"/>
      <c r="AZ19" s="815"/>
      <c r="BA19" s="815"/>
      <c r="BB19" s="815"/>
      <c r="BC19" s="815"/>
      <c r="BD19" s="815"/>
      <c r="BE19" s="815"/>
      <c r="BF19" s="815"/>
      <c r="BG19" s="815"/>
      <c r="BH19" s="815"/>
      <c r="BI19" s="815"/>
      <c r="BJ19" s="815"/>
      <c r="BK19" s="815"/>
      <c r="BL19" s="815"/>
      <c r="BM19" s="815"/>
      <c r="BN19" s="815"/>
      <c r="BO19" s="815"/>
      <c r="BP19" s="815"/>
      <c r="BQ19" s="815"/>
      <c r="BR19" s="815"/>
      <c r="BS19" s="815"/>
      <c r="BT19" s="815"/>
      <c r="BU19" s="815"/>
      <c r="BV19" s="815"/>
      <c r="BW19" s="815"/>
      <c r="BX19" s="815"/>
      <c r="BY19" s="815"/>
      <c r="BZ19" s="815"/>
      <c r="CA19" s="815"/>
      <c r="CB19" s="815"/>
      <c r="CC19" s="815"/>
      <c r="CD19" s="815"/>
      <c r="CE19" s="815"/>
      <c r="CF19" s="815"/>
      <c r="CG19" s="815"/>
      <c r="CH19" s="815"/>
      <c r="CI19" s="815"/>
      <c r="CJ19" s="815"/>
      <c r="CK19" s="815"/>
      <c r="CL19" s="815"/>
      <c r="CM19" s="815"/>
      <c r="CN19" s="815"/>
      <c r="CO19" s="815"/>
      <c r="CP19" s="815"/>
    </row>
    <row r="20" spans="1:94" s="816" customFormat="1" ht="27.75" customHeight="1">
      <c r="A20" s="840" t="s">
        <v>1346</v>
      </c>
      <c r="B20" s="843"/>
      <c r="C20" s="843">
        <v>2435898</v>
      </c>
      <c r="D20" s="843">
        <v>1094000</v>
      </c>
      <c r="E20" s="844">
        <f>SUM(B20:D20)</f>
        <v>3529898</v>
      </c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  <c r="Q20" s="815"/>
      <c r="R20" s="815"/>
      <c r="S20" s="815"/>
      <c r="T20" s="815"/>
      <c r="U20" s="815"/>
      <c r="V20" s="815"/>
      <c r="W20" s="815"/>
      <c r="X20" s="815"/>
      <c r="Y20" s="815"/>
      <c r="Z20" s="815"/>
      <c r="AA20" s="815"/>
      <c r="AB20" s="815"/>
      <c r="AC20" s="815"/>
      <c r="AD20" s="815"/>
      <c r="AE20" s="815"/>
      <c r="AF20" s="815"/>
      <c r="AG20" s="815"/>
      <c r="AH20" s="815"/>
      <c r="AI20" s="815"/>
      <c r="AJ20" s="815"/>
      <c r="AK20" s="815"/>
      <c r="AL20" s="815"/>
      <c r="AM20" s="815"/>
      <c r="AN20" s="815"/>
      <c r="AO20" s="815"/>
      <c r="AP20" s="815"/>
      <c r="AQ20" s="815"/>
      <c r="AR20" s="815"/>
      <c r="AS20" s="815"/>
      <c r="AT20" s="815"/>
      <c r="AU20" s="815"/>
      <c r="AV20" s="815"/>
      <c r="AW20" s="815"/>
      <c r="AX20" s="815"/>
      <c r="AY20" s="815"/>
      <c r="AZ20" s="815"/>
      <c r="BA20" s="815"/>
      <c r="BB20" s="815"/>
      <c r="BC20" s="815"/>
      <c r="BD20" s="815"/>
      <c r="BE20" s="815"/>
      <c r="BF20" s="815"/>
      <c r="BG20" s="815"/>
      <c r="BH20" s="815"/>
      <c r="BI20" s="815"/>
      <c r="BJ20" s="815"/>
      <c r="BK20" s="815"/>
      <c r="BL20" s="815"/>
      <c r="BM20" s="815"/>
      <c r="BN20" s="815"/>
      <c r="BO20" s="815"/>
      <c r="BP20" s="815"/>
      <c r="BQ20" s="815"/>
      <c r="BR20" s="815"/>
      <c r="BS20" s="815"/>
      <c r="BT20" s="815"/>
      <c r="BU20" s="815"/>
      <c r="BV20" s="815"/>
      <c r="BW20" s="815"/>
      <c r="BX20" s="815"/>
      <c r="BY20" s="815"/>
      <c r="BZ20" s="815"/>
      <c r="CA20" s="815"/>
      <c r="CB20" s="815"/>
      <c r="CC20" s="815"/>
      <c r="CD20" s="815"/>
      <c r="CE20" s="815"/>
      <c r="CF20" s="815"/>
      <c r="CG20" s="815"/>
      <c r="CH20" s="815"/>
      <c r="CI20" s="815"/>
      <c r="CJ20" s="815"/>
      <c r="CK20" s="815"/>
      <c r="CL20" s="815"/>
      <c r="CM20" s="815"/>
      <c r="CN20" s="815"/>
      <c r="CO20" s="815"/>
      <c r="CP20" s="815"/>
    </row>
    <row r="21" spans="1:94" s="816" customFormat="1" ht="15.75" customHeight="1">
      <c r="A21" s="820" t="s">
        <v>1109</v>
      </c>
      <c r="B21" s="843">
        <v>10547274</v>
      </c>
      <c r="C21" s="843">
        <f>9743592-2435898</f>
        <v>7307694</v>
      </c>
      <c r="D21" s="843">
        <f>4376000-1094000</f>
        <v>3282000</v>
      </c>
      <c r="E21" s="844">
        <f aca="true" t="shared" si="0" ref="E21:E43">SUM(B21:D21)</f>
        <v>21136968</v>
      </c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  <c r="Q21" s="815"/>
      <c r="R21" s="815"/>
      <c r="S21" s="815"/>
      <c r="T21" s="815"/>
      <c r="U21" s="815"/>
      <c r="V21" s="815"/>
      <c r="W21" s="815"/>
      <c r="X21" s="815"/>
      <c r="Y21" s="815"/>
      <c r="Z21" s="815"/>
      <c r="AA21" s="815"/>
      <c r="AB21" s="815"/>
      <c r="AC21" s="815"/>
      <c r="AD21" s="815"/>
      <c r="AE21" s="815"/>
      <c r="AF21" s="815"/>
      <c r="AG21" s="815"/>
      <c r="AH21" s="815"/>
      <c r="AI21" s="815"/>
      <c r="AJ21" s="815"/>
      <c r="AK21" s="815"/>
      <c r="AL21" s="815"/>
      <c r="AM21" s="815"/>
      <c r="AN21" s="815"/>
      <c r="AO21" s="815"/>
      <c r="AP21" s="815"/>
      <c r="AQ21" s="815"/>
      <c r="AR21" s="815"/>
      <c r="AS21" s="815"/>
      <c r="AT21" s="815"/>
      <c r="AU21" s="815"/>
      <c r="AV21" s="815"/>
      <c r="AW21" s="815"/>
      <c r="AX21" s="815"/>
      <c r="AY21" s="815"/>
      <c r="AZ21" s="815"/>
      <c r="BA21" s="815"/>
      <c r="BB21" s="815"/>
      <c r="BC21" s="815"/>
      <c r="BD21" s="815"/>
      <c r="BE21" s="815"/>
      <c r="BF21" s="815"/>
      <c r="BG21" s="815"/>
      <c r="BH21" s="815"/>
      <c r="BI21" s="815"/>
      <c r="BJ21" s="815"/>
      <c r="BK21" s="815"/>
      <c r="BL21" s="815"/>
      <c r="BM21" s="815"/>
      <c r="BN21" s="815"/>
      <c r="BO21" s="815"/>
      <c r="BP21" s="815"/>
      <c r="BQ21" s="815"/>
      <c r="BR21" s="815"/>
      <c r="BS21" s="815"/>
      <c r="BT21" s="815"/>
      <c r="BU21" s="815"/>
      <c r="BV21" s="815"/>
      <c r="BW21" s="815"/>
      <c r="BX21" s="815"/>
      <c r="BY21" s="815"/>
      <c r="BZ21" s="815"/>
      <c r="CA21" s="815"/>
      <c r="CB21" s="815"/>
      <c r="CC21" s="815"/>
      <c r="CD21" s="815"/>
      <c r="CE21" s="815"/>
      <c r="CF21" s="815"/>
      <c r="CG21" s="815"/>
      <c r="CH21" s="815"/>
      <c r="CI21" s="815"/>
      <c r="CJ21" s="815"/>
      <c r="CK21" s="815"/>
      <c r="CL21" s="815"/>
      <c r="CM21" s="815"/>
      <c r="CN21" s="815"/>
      <c r="CO21" s="815"/>
      <c r="CP21" s="815"/>
    </row>
    <row r="22" spans="1:94" s="816" customFormat="1" ht="27.75" customHeight="1">
      <c r="A22" s="840" t="s">
        <v>1347</v>
      </c>
      <c r="B22" s="843"/>
      <c r="C22" s="843">
        <v>2435898</v>
      </c>
      <c r="D22" s="843">
        <v>1094000</v>
      </c>
      <c r="E22" s="844">
        <f t="shared" si="0"/>
        <v>3529898</v>
      </c>
      <c r="F22" s="815"/>
      <c r="G22" s="815"/>
      <c r="H22" s="815"/>
      <c r="I22" s="815"/>
      <c r="J22" s="815"/>
      <c r="K22" s="815"/>
      <c r="L22" s="815"/>
      <c r="M22" s="815"/>
      <c r="N22" s="815"/>
      <c r="O22" s="815"/>
      <c r="P22" s="815"/>
      <c r="Q22" s="815"/>
      <c r="R22" s="815"/>
      <c r="S22" s="815"/>
      <c r="T22" s="815"/>
      <c r="U22" s="815"/>
      <c r="V22" s="815"/>
      <c r="W22" s="815"/>
      <c r="X22" s="815"/>
      <c r="Y22" s="815"/>
      <c r="Z22" s="815"/>
      <c r="AA22" s="815"/>
      <c r="AB22" s="815"/>
      <c r="AC22" s="815"/>
      <c r="AD22" s="815"/>
      <c r="AE22" s="815"/>
      <c r="AF22" s="815"/>
      <c r="AG22" s="815"/>
      <c r="AH22" s="815"/>
      <c r="AI22" s="815"/>
      <c r="AJ22" s="815"/>
      <c r="AK22" s="815"/>
      <c r="AL22" s="815"/>
      <c r="AM22" s="815"/>
      <c r="AN22" s="815"/>
      <c r="AO22" s="815"/>
      <c r="AP22" s="815"/>
      <c r="AQ22" s="815"/>
      <c r="AR22" s="815"/>
      <c r="AS22" s="815"/>
      <c r="AT22" s="815"/>
      <c r="AU22" s="815"/>
      <c r="AV22" s="815"/>
      <c r="AW22" s="815"/>
      <c r="AX22" s="815"/>
      <c r="AY22" s="815"/>
      <c r="AZ22" s="815"/>
      <c r="BA22" s="815"/>
      <c r="BB22" s="815"/>
      <c r="BC22" s="815"/>
      <c r="BD22" s="815"/>
      <c r="BE22" s="815"/>
      <c r="BF22" s="815"/>
      <c r="BG22" s="815"/>
      <c r="BH22" s="815"/>
      <c r="BI22" s="815"/>
      <c r="BJ22" s="815"/>
      <c r="BK22" s="815"/>
      <c r="BL22" s="815"/>
      <c r="BM22" s="815"/>
      <c r="BN22" s="815"/>
      <c r="BO22" s="815"/>
      <c r="BP22" s="815"/>
      <c r="BQ22" s="815"/>
      <c r="BR22" s="815"/>
      <c r="BS22" s="815"/>
      <c r="BT22" s="815"/>
      <c r="BU22" s="815"/>
      <c r="BV22" s="815"/>
      <c r="BW22" s="815"/>
      <c r="BX22" s="815"/>
      <c r="BY22" s="815"/>
      <c r="BZ22" s="815"/>
      <c r="CA22" s="815"/>
      <c r="CB22" s="815"/>
      <c r="CC22" s="815"/>
      <c r="CD22" s="815"/>
      <c r="CE22" s="815"/>
      <c r="CF22" s="815"/>
      <c r="CG22" s="815"/>
      <c r="CH22" s="815"/>
      <c r="CI22" s="815"/>
      <c r="CJ22" s="815"/>
      <c r="CK22" s="815"/>
      <c r="CL22" s="815"/>
      <c r="CM22" s="815"/>
      <c r="CN22" s="815"/>
      <c r="CO22" s="815"/>
      <c r="CP22" s="815"/>
    </row>
    <row r="23" spans="1:94" s="816" customFormat="1" ht="15.75" customHeight="1">
      <c r="A23" s="820" t="s">
        <v>1110</v>
      </c>
      <c r="B23" s="843">
        <v>14063032</v>
      </c>
      <c r="C23" s="843">
        <v>9743592</v>
      </c>
      <c r="D23" s="843">
        <v>4376000</v>
      </c>
      <c r="E23" s="844">
        <f t="shared" si="0"/>
        <v>28182624</v>
      </c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815"/>
      <c r="S23" s="815"/>
      <c r="T23" s="815"/>
      <c r="U23" s="815"/>
      <c r="V23" s="815"/>
      <c r="W23" s="815"/>
      <c r="X23" s="815"/>
      <c r="Y23" s="815"/>
      <c r="Z23" s="815"/>
      <c r="AA23" s="815"/>
      <c r="AB23" s="815"/>
      <c r="AC23" s="815"/>
      <c r="AD23" s="815"/>
      <c r="AE23" s="815"/>
      <c r="AF23" s="815"/>
      <c r="AG23" s="815"/>
      <c r="AH23" s="815"/>
      <c r="AI23" s="815"/>
      <c r="AJ23" s="815"/>
      <c r="AK23" s="815"/>
      <c r="AL23" s="815"/>
      <c r="AM23" s="815"/>
      <c r="AN23" s="815"/>
      <c r="AO23" s="815"/>
      <c r="AP23" s="815"/>
      <c r="AQ23" s="815"/>
      <c r="AR23" s="815"/>
      <c r="AS23" s="815"/>
      <c r="AT23" s="815"/>
      <c r="AU23" s="815"/>
      <c r="AV23" s="815"/>
      <c r="AW23" s="815"/>
      <c r="AX23" s="815"/>
      <c r="AY23" s="815"/>
      <c r="AZ23" s="815"/>
      <c r="BA23" s="815"/>
      <c r="BB23" s="815"/>
      <c r="BC23" s="815"/>
      <c r="BD23" s="815"/>
      <c r="BE23" s="815"/>
      <c r="BF23" s="815"/>
      <c r="BG23" s="815"/>
      <c r="BH23" s="815"/>
      <c r="BI23" s="815"/>
      <c r="BJ23" s="815"/>
      <c r="BK23" s="815"/>
      <c r="BL23" s="815"/>
      <c r="BM23" s="815"/>
      <c r="BN23" s="815"/>
      <c r="BO23" s="815"/>
      <c r="BP23" s="815"/>
      <c r="BQ23" s="815"/>
      <c r="BR23" s="815"/>
      <c r="BS23" s="815"/>
      <c r="BT23" s="815"/>
      <c r="BU23" s="815"/>
      <c r="BV23" s="815"/>
      <c r="BW23" s="815"/>
      <c r="BX23" s="815"/>
      <c r="BY23" s="815"/>
      <c r="BZ23" s="815"/>
      <c r="CA23" s="815"/>
      <c r="CB23" s="815"/>
      <c r="CC23" s="815"/>
      <c r="CD23" s="815"/>
      <c r="CE23" s="815"/>
      <c r="CF23" s="815"/>
      <c r="CG23" s="815"/>
      <c r="CH23" s="815"/>
      <c r="CI23" s="815"/>
      <c r="CJ23" s="815"/>
      <c r="CK23" s="815"/>
      <c r="CL23" s="815"/>
      <c r="CM23" s="815"/>
      <c r="CN23" s="815"/>
      <c r="CO23" s="815"/>
      <c r="CP23" s="815"/>
    </row>
    <row r="24" spans="1:94" s="816" customFormat="1" ht="15.75" customHeight="1">
      <c r="A24" s="820" t="s">
        <v>1111</v>
      </c>
      <c r="B24" s="843">
        <v>14063032</v>
      </c>
      <c r="C24" s="843">
        <v>9743592</v>
      </c>
      <c r="D24" s="843">
        <v>4376000</v>
      </c>
      <c r="E24" s="844">
        <f t="shared" si="0"/>
        <v>28182624</v>
      </c>
      <c r="F24" s="815"/>
      <c r="G24" s="845"/>
      <c r="H24" s="846"/>
      <c r="I24" s="846"/>
      <c r="J24" s="847"/>
      <c r="K24" s="848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15"/>
      <c r="AJ24" s="815"/>
      <c r="AK24" s="815"/>
      <c r="AL24" s="815"/>
      <c r="AM24" s="815"/>
      <c r="AN24" s="815"/>
      <c r="AO24" s="815"/>
      <c r="AP24" s="815"/>
      <c r="AQ24" s="815"/>
      <c r="AR24" s="815"/>
      <c r="AS24" s="815"/>
      <c r="AT24" s="815"/>
      <c r="AU24" s="815"/>
      <c r="AV24" s="815"/>
      <c r="AW24" s="815"/>
      <c r="AX24" s="815"/>
      <c r="AY24" s="815"/>
      <c r="AZ24" s="815"/>
      <c r="BA24" s="815"/>
      <c r="BB24" s="815"/>
      <c r="BC24" s="815"/>
      <c r="BD24" s="815"/>
      <c r="BE24" s="815"/>
      <c r="BF24" s="815"/>
      <c r="BG24" s="815"/>
      <c r="BH24" s="815"/>
      <c r="BI24" s="815"/>
      <c r="BJ24" s="815"/>
      <c r="BK24" s="815"/>
      <c r="BL24" s="815"/>
      <c r="BM24" s="815"/>
      <c r="BN24" s="815"/>
      <c r="BO24" s="815"/>
      <c r="BP24" s="815"/>
      <c r="BQ24" s="815"/>
      <c r="BR24" s="815"/>
      <c r="BS24" s="815"/>
      <c r="BT24" s="815"/>
      <c r="BU24" s="815"/>
      <c r="BV24" s="815"/>
      <c r="BW24" s="815"/>
      <c r="BX24" s="815"/>
      <c r="BY24" s="815"/>
      <c r="BZ24" s="815"/>
      <c r="CA24" s="815"/>
      <c r="CB24" s="815"/>
      <c r="CC24" s="815"/>
      <c r="CD24" s="815"/>
      <c r="CE24" s="815"/>
      <c r="CF24" s="815"/>
      <c r="CG24" s="815"/>
      <c r="CH24" s="815"/>
      <c r="CI24" s="815"/>
      <c r="CJ24" s="815"/>
      <c r="CK24" s="815"/>
      <c r="CL24" s="815"/>
      <c r="CM24" s="815"/>
      <c r="CN24" s="815"/>
      <c r="CO24" s="815"/>
      <c r="CP24" s="815"/>
    </row>
    <row r="25" spans="1:94" s="816" customFormat="1" ht="15.75" customHeight="1">
      <c r="A25" s="820" t="s">
        <v>1133</v>
      </c>
      <c r="B25" s="843">
        <v>14063032</v>
      </c>
      <c r="C25" s="843">
        <v>9743592</v>
      </c>
      <c r="D25" s="843">
        <v>4376000</v>
      </c>
      <c r="E25" s="844">
        <f t="shared" si="0"/>
        <v>28182624</v>
      </c>
      <c r="F25" s="815"/>
      <c r="G25" s="849"/>
      <c r="H25" s="849"/>
      <c r="I25" s="849"/>
      <c r="J25" s="849"/>
      <c r="K25" s="849"/>
      <c r="L25" s="815"/>
      <c r="M25" s="815"/>
      <c r="N25" s="815"/>
      <c r="O25" s="815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815"/>
      <c r="AJ25" s="815"/>
      <c r="AK25" s="815"/>
      <c r="AL25" s="815"/>
      <c r="AM25" s="815"/>
      <c r="AN25" s="815"/>
      <c r="AO25" s="815"/>
      <c r="AP25" s="815"/>
      <c r="AQ25" s="815"/>
      <c r="AR25" s="815"/>
      <c r="AS25" s="815"/>
      <c r="AT25" s="815"/>
      <c r="AU25" s="815"/>
      <c r="AV25" s="815"/>
      <c r="AW25" s="815"/>
      <c r="AX25" s="815"/>
      <c r="AY25" s="815"/>
      <c r="AZ25" s="815"/>
      <c r="BA25" s="815"/>
      <c r="BB25" s="815"/>
      <c r="BC25" s="815"/>
      <c r="BD25" s="815"/>
      <c r="BE25" s="815"/>
      <c r="BF25" s="815"/>
      <c r="BG25" s="815"/>
      <c r="BH25" s="815"/>
      <c r="BI25" s="815"/>
      <c r="BJ25" s="815"/>
      <c r="BK25" s="815"/>
      <c r="BL25" s="815"/>
      <c r="BM25" s="815"/>
      <c r="BN25" s="815"/>
      <c r="BO25" s="815"/>
      <c r="BP25" s="815"/>
      <c r="BQ25" s="815"/>
      <c r="BR25" s="815"/>
      <c r="BS25" s="815"/>
      <c r="BT25" s="815"/>
      <c r="BU25" s="815"/>
      <c r="BV25" s="815"/>
      <c r="BW25" s="815"/>
      <c r="BX25" s="815"/>
      <c r="BY25" s="815"/>
      <c r="BZ25" s="815"/>
      <c r="CA25" s="815"/>
      <c r="CB25" s="815"/>
      <c r="CC25" s="815"/>
      <c r="CD25" s="815"/>
      <c r="CE25" s="815"/>
      <c r="CF25" s="815"/>
      <c r="CG25" s="815"/>
      <c r="CH25" s="815"/>
      <c r="CI25" s="815"/>
      <c r="CJ25" s="815"/>
      <c r="CK25" s="815"/>
      <c r="CL25" s="815"/>
      <c r="CM25" s="815"/>
      <c r="CN25" s="815"/>
      <c r="CO25" s="815"/>
      <c r="CP25" s="815"/>
    </row>
    <row r="26" spans="1:94" s="816" customFormat="1" ht="15.75" customHeight="1">
      <c r="A26" s="820" t="s">
        <v>1134</v>
      </c>
      <c r="B26" s="843">
        <v>14063032</v>
      </c>
      <c r="C26" s="843">
        <v>9743592</v>
      </c>
      <c r="D26" s="843">
        <v>4376000</v>
      </c>
      <c r="E26" s="844">
        <f t="shared" si="0"/>
        <v>28182624</v>
      </c>
      <c r="F26" s="815"/>
      <c r="G26" s="849"/>
      <c r="H26" s="849"/>
      <c r="I26" s="849"/>
      <c r="J26" s="849"/>
      <c r="K26" s="849"/>
      <c r="L26" s="815"/>
      <c r="M26" s="815"/>
      <c r="N26" s="815"/>
      <c r="O26" s="815"/>
      <c r="P26" s="815"/>
      <c r="Q26" s="815"/>
      <c r="R26" s="815"/>
      <c r="S26" s="815"/>
      <c r="T26" s="815"/>
      <c r="U26" s="815"/>
      <c r="V26" s="815"/>
      <c r="W26" s="815"/>
      <c r="X26" s="815"/>
      <c r="Y26" s="815"/>
      <c r="Z26" s="815"/>
      <c r="AA26" s="815"/>
      <c r="AB26" s="815"/>
      <c r="AC26" s="815"/>
      <c r="AD26" s="815"/>
      <c r="AE26" s="815"/>
      <c r="AF26" s="815"/>
      <c r="AG26" s="815"/>
      <c r="AH26" s="815"/>
      <c r="AI26" s="815"/>
      <c r="AJ26" s="815"/>
      <c r="AK26" s="815"/>
      <c r="AL26" s="815"/>
      <c r="AM26" s="815"/>
      <c r="AN26" s="815"/>
      <c r="AO26" s="815"/>
      <c r="AP26" s="815"/>
      <c r="AQ26" s="815"/>
      <c r="AR26" s="815"/>
      <c r="AS26" s="815"/>
      <c r="AT26" s="815"/>
      <c r="AU26" s="815"/>
      <c r="AV26" s="815"/>
      <c r="AW26" s="815"/>
      <c r="AX26" s="815"/>
      <c r="AY26" s="815"/>
      <c r="AZ26" s="815"/>
      <c r="BA26" s="815"/>
      <c r="BB26" s="815"/>
      <c r="BC26" s="815"/>
      <c r="BD26" s="815"/>
      <c r="BE26" s="815"/>
      <c r="BF26" s="815"/>
      <c r="BG26" s="815"/>
      <c r="BH26" s="815"/>
      <c r="BI26" s="815"/>
      <c r="BJ26" s="815"/>
      <c r="BK26" s="815"/>
      <c r="BL26" s="815"/>
      <c r="BM26" s="815"/>
      <c r="BN26" s="815"/>
      <c r="BO26" s="815"/>
      <c r="BP26" s="815"/>
      <c r="BQ26" s="815"/>
      <c r="BR26" s="815"/>
      <c r="BS26" s="815"/>
      <c r="BT26" s="815"/>
      <c r="BU26" s="815"/>
      <c r="BV26" s="815"/>
      <c r="BW26" s="815"/>
      <c r="BX26" s="815"/>
      <c r="BY26" s="815"/>
      <c r="BZ26" s="815"/>
      <c r="CA26" s="815"/>
      <c r="CB26" s="815"/>
      <c r="CC26" s="815"/>
      <c r="CD26" s="815"/>
      <c r="CE26" s="815"/>
      <c r="CF26" s="815"/>
      <c r="CG26" s="815"/>
      <c r="CH26" s="815"/>
      <c r="CI26" s="815"/>
      <c r="CJ26" s="815"/>
      <c r="CK26" s="815"/>
      <c r="CL26" s="815"/>
      <c r="CM26" s="815"/>
      <c r="CN26" s="815"/>
      <c r="CO26" s="815"/>
      <c r="CP26" s="815"/>
    </row>
    <row r="27" spans="1:94" s="816" customFormat="1" ht="15.75" customHeight="1">
      <c r="A27" s="820" t="s">
        <v>1135</v>
      </c>
      <c r="B27" s="843">
        <v>14063032</v>
      </c>
      <c r="C27" s="843">
        <v>9743592</v>
      </c>
      <c r="D27" s="843">
        <v>4376000</v>
      </c>
      <c r="E27" s="844">
        <f t="shared" si="0"/>
        <v>28182624</v>
      </c>
      <c r="F27" s="815"/>
      <c r="G27" s="849"/>
      <c r="H27" s="849"/>
      <c r="I27" s="849"/>
      <c r="J27" s="849"/>
      <c r="K27" s="849"/>
      <c r="L27" s="815"/>
      <c r="M27" s="815"/>
      <c r="N27" s="815"/>
      <c r="O27" s="815"/>
      <c r="P27" s="815"/>
      <c r="Q27" s="815"/>
      <c r="R27" s="815"/>
      <c r="S27" s="815"/>
      <c r="T27" s="815"/>
      <c r="U27" s="815"/>
      <c r="V27" s="815"/>
      <c r="W27" s="815"/>
      <c r="X27" s="815"/>
      <c r="Y27" s="815"/>
      <c r="Z27" s="815"/>
      <c r="AA27" s="815"/>
      <c r="AB27" s="815"/>
      <c r="AC27" s="815"/>
      <c r="AD27" s="815"/>
      <c r="AE27" s="815"/>
      <c r="AF27" s="815"/>
      <c r="AG27" s="815"/>
      <c r="AH27" s="815"/>
      <c r="AI27" s="815"/>
      <c r="AJ27" s="815"/>
      <c r="AK27" s="815"/>
      <c r="AL27" s="815"/>
      <c r="AM27" s="815"/>
      <c r="AN27" s="815"/>
      <c r="AO27" s="815"/>
      <c r="AP27" s="815"/>
      <c r="AQ27" s="815"/>
      <c r="AR27" s="815"/>
      <c r="AS27" s="815"/>
      <c r="AT27" s="815"/>
      <c r="AU27" s="815"/>
      <c r="AV27" s="815"/>
      <c r="AW27" s="815"/>
      <c r="AX27" s="815"/>
      <c r="AY27" s="815"/>
      <c r="AZ27" s="815"/>
      <c r="BA27" s="815"/>
      <c r="BB27" s="815"/>
      <c r="BC27" s="815"/>
      <c r="BD27" s="815"/>
      <c r="BE27" s="815"/>
      <c r="BF27" s="815"/>
      <c r="BG27" s="815"/>
      <c r="BH27" s="815"/>
      <c r="BI27" s="815"/>
      <c r="BJ27" s="815"/>
      <c r="BK27" s="815"/>
      <c r="BL27" s="815"/>
      <c r="BM27" s="815"/>
      <c r="BN27" s="815"/>
      <c r="BO27" s="815"/>
      <c r="BP27" s="815"/>
      <c r="BQ27" s="815"/>
      <c r="BR27" s="815"/>
      <c r="BS27" s="815"/>
      <c r="BT27" s="815"/>
      <c r="BU27" s="815"/>
      <c r="BV27" s="815"/>
      <c r="BW27" s="815"/>
      <c r="BX27" s="815"/>
      <c r="BY27" s="815"/>
      <c r="BZ27" s="815"/>
      <c r="CA27" s="815"/>
      <c r="CB27" s="815"/>
      <c r="CC27" s="815"/>
      <c r="CD27" s="815"/>
      <c r="CE27" s="815"/>
      <c r="CF27" s="815"/>
      <c r="CG27" s="815"/>
      <c r="CH27" s="815"/>
      <c r="CI27" s="815"/>
      <c r="CJ27" s="815"/>
      <c r="CK27" s="815"/>
      <c r="CL27" s="815"/>
      <c r="CM27" s="815"/>
      <c r="CN27" s="815"/>
      <c r="CO27" s="815"/>
      <c r="CP27" s="815"/>
    </row>
    <row r="28" spans="1:94" s="816" customFormat="1" ht="15.75" customHeight="1">
      <c r="A28" s="820" t="s">
        <v>1136</v>
      </c>
      <c r="B28" s="843">
        <v>14063032</v>
      </c>
      <c r="C28" s="843">
        <v>9743592</v>
      </c>
      <c r="D28" s="843">
        <v>4376000</v>
      </c>
      <c r="E28" s="844">
        <f t="shared" si="0"/>
        <v>28182624</v>
      </c>
      <c r="F28" s="815"/>
      <c r="G28" s="849"/>
      <c r="H28" s="849"/>
      <c r="I28" s="849"/>
      <c r="J28" s="849"/>
      <c r="K28" s="849"/>
      <c r="L28" s="815"/>
      <c r="M28" s="815"/>
      <c r="N28" s="815"/>
      <c r="O28" s="815"/>
      <c r="P28" s="815"/>
      <c r="Q28" s="815"/>
      <c r="R28" s="815"/>
      <c r="S28" s="815"/>
      <c r="T28" s="815"/>
      <c r="U28" s="815"/>
      <c r="V28" s="815"/>
      <c r="W28" s="815"/>
      <c r="X28" s="815"/>
      <c r="Y28" s="815"/>
      <c r="Z28" s="815"/>
      <c r="AA28" s="815"/>
      <c r="AB28" s="815"/>
      <c r="AC28" s="815"/>
      <c r="AD28" s="815"/>
      <c r="AE28" s="815"/>
      <c r="AF28" s="815"/>
      <c r="AG28" s="815"/>
      <c r="AH28" s="815"/>
      <c r="AI28" s="815"/>
      <c r="AJ28" s="815"/>
      <c r="AK28" s="815"/>
      <c r="AL28" s="815"/>
      <c r="AM28" s="815"/>
      <c r="AN28" s="815"/>
      <c r="AO28" s="815"/>
      <c r="AP28" s="815"/>
      <c r="AQ28" s="815"/>
      <c r="AR28" s="815"/>
      <c r="AS28" s="815"/>
      <c r="AT28" s="815"/>
      <c r="AU28" s="815"/>
      <c r="AV28" s="815"/>
      <c r="AW28" s="815"/>
      <c r="AX28" s="815"/>
      <c r="AY28" s="815"/>
      <c r="AZ28" s="815"/>
      <c r="BA28" s="815"/>
      <c r="BB28" s="815"/>
      <c r="BC28" s="815"/>
      <c r="BD28" s="815"/>
      <c r="BE28" s="815"/>
      <c r="BF28" s="815"/>
      <c r="BG28" s="815"/>
      <c r="BH28" s="815"/>
      <c r="BI28" s="815"/>
      <c r="BJ28" s="815"/>
      <c r="BK28" s="815"/>
      <c r="BL28" s="815"/>
      <c r="BM28" s="815"/>
      <c r="BN28" s="815"/>
      <c r="BO28" s="815"/>
      <c r="BP28" s="815"/>
      <c r="BQ28" s="815"/>
      <c r="BR28" s="815"/>
      <c r="BS28" s="815"/>
      <c r="BT28" s="815"/>
      <c r="BU28" s="815"/>
      <c r="BV28" s="815"/>
      <c r="BW28" s="815"/>
      <c r="BX28" s="815"/>
      <c r="BY28" s="815"/>
      <c r="BZ28" s="815"/>
      <c r="CA28" s="815"/>
      <c r="CB28" s="815"/>
      <c r="CC28" s="815"/>
      <c r="CD28" s="815"/>
      <c r="CE28" s="815"/>
      <c r="CF28" s="815"/>
      <c r="CG28" s="815"/>
      <c r="CH28" s="815"/>
      <c r="CI28" s="815"/>
      <c r="CJ28" s="815"/>
      <c r="CK28" s="815"/>
      <c r="CL28" s="815"/>
      <c r="CM28" s="815"/>
      <c r="CN28" s="815"/>
      <c r="CO28" s="815"/>
      <c r="CP28" s="815"/>
    </row>
    <row r="29" spans="1:94" s="816" customFormat="1" ht="15.75" customHeight="1">
      <c r="A29" s="820" t="s">
        <v>1137</v>
      </c>
      <c r="B29" s="843">
        <v>14063032</v>
      </c>
      <c r="C29" s="843">
        <v>9743592</v>
      </c>
      <c r="D29" s="843">
        <v>4376000</v>
      </c>
      <c r="E29" s="844">
        <f t="shared" si="0"/>
        <v>28182624</v>
      </c>
      <c r="F29" s="815"/>
      <c r="G29" s="849"/>
      <c r="H29" s="849"/>
      <c r="I29" s="849"/>
      <c r="J29" s="849"/>
      <c r="K29" s="849"/>
      <c r="L29" s="815"/>
      <c r="M29" s="815"/>
      <c r="N29" s="815"/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5"/>
      <c r="AA29" s="815"/>
      <c r="AB29" s="815"/>
      <c r="AC29" s="815"/>
      <c r="AD29" s="815"/>
      <c r="AE29" s="815"/>
      <c r="AF29" s="815"/>
      <c r="AG29" s="815"/>
      <c r="AH29" s="815"/>
      <c r="AI29" s="815"/>
      <c r="AJ29" s="815"/>
      <c r="AK29" s="815"/>
      <c r="AL29" s="815"/>
      <c r="AM29" s="815"/>
      <c r="AN29" s="815"/>
      <c r="AO29" s="815"/>
      <c r="AP29" s="815"/>
      <c r="AQ29" s="815"/>
      <c r="AR29" s="815"/>
      <c r="AS29" s="815"/>
      <c r="AT29" s="815"/>
      <c r="AU29" s="815"/>
      <c r="AV29" s="815"/>
      <c r="AW29" s="815"/>
      <c r="AX29" s="815"/>
      <c r="AY29" s="815"/>
      <c r="AZ29" s="815"/>
      <c r="BA29" s="815"/>
      <c r="BB29" s="815"/>
      <c r="BC29" s="815"/>
      <c r="BD29" s="815"/>
      <c r="BE29" s="815"/>
      <c r="BF29" s="815"/>
      <c r="BG29" s="815"/>
      <c r="BH29" s="815"/>
      <c r="BI29" s="815"/>
      <c r="BJ29" s="815"/>
      <c r="BK29" s="815"/>
      <c r="BL29" s="815"/>
      <c r="BM29" s="815"/>
      <c r="BN29" s="815"/>
      <c r="BO29" s="815"/>
      <c r="BP29" s="815"/>
      <c r="BQ29" s="815"/>
      <c r="BR29" s="815"/>
      <c r="BS29" s="815"/>
      <c r="BT29" s="815"/>
      <c r="BU29" s="815"/>
      <c r="BV29" s="815"/>
      <c r="BW29" s="815"/>
      <c r="BX29" s="815"/>
      <c r="BY29" s="815"/>
      <c r="BZ29" s="815"/>
      <c r="CA29" s="815"/>
      <c r="CB29" s="815"/>
      <c r="CC29" s="815"/>
      <c r="CD29" s="815"/>
      <c r="CE29" s="815"/>
      <c r="CF29" s="815"/>
      <c r="CG29" s="815"/>
      <c r="CH29" s="815"/>
      <c r="CI29" s="815"/>
      <c r="CJ29" s="815"/>
      <c r="CK29" s="815"/>
      <c r="CL29" s="815"/>
      <c r="CM29" s="815"/>
      <c r="CN29" s="815"/>
      <c r="CO29" s="815"/>
      <c r="CP29" s="815"/>
    </row>
    <row r="30" spans="1:94" s="816" customFormat="1" ht="15.75" customHeight="1">
      <c r="A30" s="820" t="s">
        <v>1138</v>
      </c>
      <c r="B30" s="843">
        <v>14063032</v>
      </c>
      <c r="C30" s="843">
        <v>9743592</v>
      </c>
      <c r="D30" s="843">
        <v>4376000</v>
      </c>
      <c r="E30" s="844">
        <f t="shared" si="0"/>
        <v>28182624</v>
      </c>
      <c r="F30" s="815"/>
      <c r="G30" s="849"/>
      <c r="H30" s="849"/>
      <c r="I30" s="849"/>
      <c r="J30" s="849"/>
      <c r="K30" s="849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815"/>
      <c r="AC30" s="815"/>
      <c r="AD30" s="815"/>
      <c r="AE30" s="815"/>
      <c r="AF30" s="815"/>
      <c r="AG30" s="815"/>
      <c r="AH30" s="815"/>
      <c r="AI30" s="815"/>
      <c r="AJ30" s="815"/>
      <c r="AK30" s="815"/>
      <c r="AL30" s="815"/>
      <c r="AM30" s="815"/>
      <c r="AN30" s="815"/>
      <c r="AO30" s="815"/>
      <c r="AP30" s="815"/>
      <c r="AQ30" s="815"/>
      <c r="AR30" s="815"/>
      <c r="AS30" s="815"/>
      <c r="AT30" s="815"/>
      <c r="AU30" s="815"/>
      <c r="AV30" s="815"/>
      <c r="AW30" s="815"/>
      <c r="AX30" s="815"/>
      <c r="AY30" s="815"/>
      <c r="AZ30" s="815"/>
      <c r="BA30" s="815"/>
      <c r="BB30" s="815"/>
      <c r="BC30" s="815"/>
      <c r="BD30" s="815"/>
      <c r="BE30" s="815"/>
      <c r="BF30" s="815"/>
      <c r="BG30" s="815"/>
      <c r="BH30" s="815"/>
      <c r="BI30" s="815"/>
      <c r="BJ30" s="815"/>
      <c r="BK30" s="815"/>
      <c r="BL30" s="815"/>
      <c r="BM30" s="815"/>
      <c r="BN30" s="815"/>
      <c r="BO30" s="815"/>
      <c r="BP30" s="815"/>
      <c r="BQ30" s="815"/>
      <c r="BR30" s="815"/>
      <c r="BS30" s="815"/>
      <c r="BT30" s="815"/>
      <c r="BU30" s="815"/>
      <c r="BV30" s="815"/>
      <c r="BW30" s="815"/>
      <c r="BX30" s="815"/>
      <c r="BY30" s="815"/>
      <c r="BZ30" s="815"/>
      <c r="CA30" s="815"/>
      <c r="CB30" s="815"/>
      <c r="CC30" s="815"/>
      <c r="CD30" s="815"/>
      <c r="CE30" s="815"/>
      <c r="CF30" s="815"/>
      <c r="CG30" s="815"/>
      <c r="CH30" s="815"/>
      <c r="CI30" s="815"/>
      <c r="CJ30" s="815"/>
      <c r="CK30" s="815"/>
      <c r="CL30" s="815"/>
      <c r="CM30" s="815"/>
      <c r="CN30" s="815"/>
      <c r="CO30" s="815"/>
      <c r="CP30" s="815"/>
    </row>
    <row r="31" spans="1:94" s="816" customFormat="1" ht="15.75" customHeight="1">
      <c r="A31" s="820" t="s">
        <v>1139</v>
      </c>
      <c r="B31" s="843">
        <v>14063032</v>
      </c>
      <c r="C31" s="843">
        <v>9743592</v>
      </c>
      <c r="D31" s="843">
        <v>4376000</v>
      </c>
      <c r="E31" s="844">
        <f t="shared" si="0"/>
        <v>28182624</v>
      </c>
      <c r="F31" s="815"/>
      <c r="G31" s="849"/>
      <c r="H31" s="849"/>
      <c r="I31" s="849"/>
      <c r="J31" s="849"/>
      <c r="K31" s="849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15"/>
      <c r="AJ31" s="815"/>
      <c r="AK31" s="815"/>
      <c r="AL31" s="815"/>
      <c r="AM31" s="815"/>
      <c r="AN31" s="815"/>
      <c r="AO31" s="815"/>
      <c r="AP31" s="815"/>
      <c r="AQ31" s="815"/>
      <c r="AR31" s="815"/>
      <c r="AS31" s="815"/>
      <c r="AT31" s="815"/>
      <c r="AU31" s="815"/>
      <c r="AV31" s="815"/>
      <c r="AW31" s="815"/>
      <c r="AX31" s="815"/>
      <c r="AY31" s="815"/>
      <c r="AZ31" s="815"/>
      <c r="BA31" s="815"/>
      <c r="BB31" s="815"/>
      <c r="BC31" s="815"/>
      <c r="BD31" s="815"/>
      <c r="BE31" s="815"/>
      <c r="BF31" s="815"/>
      <c r="BG31" s="815"/>
      <c r="BH31" s="815"/>
      <c r="BI31" s="815"/>
      <c r="BJ31" s="815"/>
      <c r="BK31" s="815"/>
      <c r="BL31" s="815"/>
      <c r="BM31" s="815"/>
      <c r="BN31" s="815"/>
      <c r="BO31" s="815"/>
      <c r="BP31" s="815"/>
      <c r="BQ31" s="815"/>
      <c r="BR31" s="815"/>
      <c r="BS31" s="815"/>
      <c r="BT31" s="815"/>
      <c r="BU31" s="815"/>
      <c r="BV31" s="815"/>
      <c r="BW31" s="815"/>
      <c r="BX31" s="815"/>
      <c r="BY31" s="815"/>
      <c r="BZ31" s="815"/>
      <c r="CA31" s="815"/>
      <c r="CB31" s="815"/>
      <c r="CC31" s="815"/>
      <c r="CD31" s="815"/>
      <c r="CE31" s="815"/>
      <c r="CF31" s="815"/>
      <c r="CG31" s="815"/>
      <c r="CH31" s="815"/>
      <c r="CI31" s="815"/>
      <c r="CJ31" s="815"/>
      <c r="CK31" s="815"/>
      <c r="CL31" s="815"/>
      <c r="CM31" s="815"/>
      <c r="CN31" s="815"/>
      <c r="CO31" s="815"/>
      <c r="CP31" s="815"/>
    </row>
    <row r="32" spans="1:94" s="816" customFormat="1" ht="15.75" customHeight="1">
      <c r="A32" s="820" t="s">
        <v>1140</v>
      </c>
      <c r="B32" s="843">
        <v>14063032</v>
      </c>
      <c r="C32" s="843">
        <v>9743592</v>
      </c>
      <c r="D32" s="843">
        <v>4376000</v>
      </c>
      <c r="E32" s="844">
        <f t="shared" si="0"/>
        <v>28182624</v>
      </c>
      <c r="F32" s="815"/>
      <c r="G32" s="849"/>
      <c r="H32" s="849"/>
      <c r="I32" s="849"/>
      <c r="J32" s="849"/>
      <c r="K32" s="849"/>
      <c r="L32" s="815"/>
      <c r="M32" s="815"/>
      <c r="N32" s="815"/>
      <c r="O32" s="815"/>
      <c r="P32" s="815"/>
      <c r="Q32" s="815"/>
      <c r="R32" s="815"/>
      <c r="S32" s="815"/>
      <c r="T32" s="815"/>
      <c r="U32" s="815"/>
      <c r="V32" s="815"/>
      <c r="W32" s="815"/>
      <c r="X32" s="815"/>
      <c r="Y32" s="815"/>
      <c r="Z32" s="815"/>
      <c r="AA32" s="815"/>
      <c r="AB32" s="815"/>
      <c r="AC32" s="815"/>
      <c r="AD32" s="815"/>
      <c r="AE32" s="815"/>
      <c r="AF32" s="815"/>
      <c r="AG32" s="815"/>
      <c r="AH32" s="815"/>
      <c r="AI32" s="815"/>
      <c r="AJ32" s="815"/>
      <c r="AK32" s="815"/>
      <c r="AL32" s="815"/>
      <c r="AM32" s="815"/>
      <c r="AN32" s="815"/>
      <c r="AO32" s="815"/>
      <c r="AP32" s="815"/>
      <c r="AQ32" s="815"/>
      <c r="AR32" s="815"/>
      <c r="AS32" s="815"/>
      <c r="AT32" s="815"/>
      <c r="AU32" s="815"/>
      <c r="AV32" s="815"/>
      <c r="AW32" s="815"/>
      <c r="AX32" s="815"/>
      <c r="AY32" s="815"/>
      <c r="AZ32" s="815"/>
      <c r="BA32" s="815"/>
      <c r="BB32" s="815"/>
      <c r="BC32" s="815"/>
      <c r="BD32" s="815"/>
      <c r="BE32" s="815"/>
      <c r="BF32" s="815"/>
      <c r="BG32" s="815"/>
      <c r="BH32" s="815"/>
      <c r="BI32" s="815"/>
      <c r="BJ32" s="815"/>
      <c r="BK32" s="815"/>
      <c r="BL32" s="815"/>
      <c r="BM32" s="815"/>
      <c r="BN32" s="815"/>
      <c r="BO32" s="815"/>
      <c r="BP32" s="815"/>
      <c r="BQ32" s="815"/>
      <c r="BR32" s="815"/>
      <c r="BS32" s="815"/>
      <c r="BT32" s="815"/>
      <c r="BU32" s="815"/>
      <c r="BV32" s="815"/>
      <c r="BW32" s="815"/>
      <c r="BX32" s="815"/>
      <c r="BY32" s="815"/>
      <c r="BZ32" s="815"/>
      <c r="CA32" s="815"/>
      <c r="CB32" s="815"/>
      <c r="CC32" s="815"/>
      <c r="CD32" s="815"/>
      <c r="CE32" s="815"/>
      <c r="CF32" s="815"/>
      <c r="CG32" s="815"/>
      <c r="CH32" s="815"/>
      <c r="CI32" s="815"/>
      <c r="CJ32" s="815"/>
      <c r="CK32" s="815"/>
      <c r="CL32" s="815"/>
      <c r="CM32" s="815"/>
      <c r="CN32" s="815"/>
      <c r="CO32" s="815"/>
      <c r="CP32" s="815"/>
    </row>
    <row r="33" spans="1:94" s="816" customFormat="1" ht="15.75" customHeight="1">
      <c r="A33" s="820" t="s">
        <v>1141</v>
      </c>
      <c r="B33" s="843">
        <v>14063032</v>
      </c>
      <c r="C33" s="843">
        <v>9743592</v>
      </c>
      <c r="D33" s="843">
        <v>4376000</v>
      </c>
      <c r="E33" s="844">
        <f t="shared" si="0"/>
        <v>28182624</v>
      </c>
      <c r="F33" s="815"/>
      <c r="G33" s="849"/>
      <c r="H33" s="849"/>
      <c r="I33" s="849"/>
      <c r="J33" s="849"/>
      <c r="K33" s="849"/>
      <c r="L33" s="815"/>
      <c r="M33" s="815"/>
      <c r="N33" s="815"/>
      <c r="O33" s="815"/>
      <c r="P33" s="815"/>
      <c r="Q33" s="815"/>
      <c r="R33" s="815"/>
      <c r="S33" s="815"/>
      <c r="T33" s="815"/>
      <c r="U33" s="815"/>
      <c r="V33" s="815"/>
      <c r="W33" s="815"/>
      <c r="X33" s="815"/>
      <c r="Y33" s="815"/>
      <c r="Z33" s="815"/>
      <c r="AA33" s="815"/>
      <c r="AB33" s="815"/>
      <c r="AC33" s="815"/>
      <c r="AD33" s="815"/>
      <c r="AE33" s="815"/>
      <c r="AF33" s="815"/>
      <c r="AG33" s="815"/>
      <c r="AH33" s="815"/>
      <c r="AI33" s="815"/>
      <c r="AJ33" s="815"/>
      <c r="AK33" s="815"/>
      <c r="AL33" s="815"/>
      <c r="AM33" s="815"/>
      <c r="AN33" s="815"/>
      <c r="AO33" s="815"/>
      <c r="AP33" s="815"/>
      <c r="AQ33" s="815"/>
      <c r="AR33" s="815"/>
      <c r="AS33" s="815"/>
      <c r="AT33" s="815"/>
      <c r="AU33" s="815"/>
      <c r="AV33" s="815"/>
      <c r="AW33" s="815"/>
      <c r="AX33" s="815"/>
      <c r="AY33" s="815"/>
      <c r="AZ33" s="815"/>
      <c r="BA33" s="815"/>
      <c r="BB33" s="815"/>
      <c r="BC33" s="815"/>
      <c r="BD33" s="815"/>
      <c r="BE33" s="815"/>
      <c r="BF33" s="815"/>
      <c r="BG33" s="815"/>
      <c r="BH33" s="815"/>
      <c r="BI33" s="815"/>
      <c r="BJ33" s="815"/>
      <c r="BK33" s="815"/>
      <c r="BL33" s="815"/>
      <c r="BM33" s="815"/>
      <c r="BN33" s="815"/>
      <c r="BO33" s="815"/>
      <c r="BP33" s="815"/>
      <c r="BQ33" s="815"/>
      <c r="BR33" s="815"/>
      <c r="BS33" s="815"/>
      <c r="BT33" s="815"/>
      <c r="BU33" s="815"/>
      <c r="BV33" s="815"/>
      <c r="BW33" s="815"/>
      <c r="BX33" s="815"/>
      <c r="BY33" s="815"/>
      <c r="BZ33" s="815"/>
      <c r="CA33" s="815"/>
      <c r="CB33" s="815"/>
      <c r="CC33" s="815"/>
      <c r="CD33" s="815"/>
      <c r="CE33" s="815"/>
      <c r="CF33" s="815"/>
      <c r="CG33" s="815"/>
      <c r="CH33" s="815"/>
      <c r="CI33" s="815"/>
      <c r="CJ33" s="815"/>
      <c r="CK33" s="815"/>
      <c r="CL33" s="815"/>
      <c r="CM33" s="815"/>
      <c r="CN33" s="815"/>
      <c r="CO33" s="815"/>
      <c r="CP33" s="815"/>
    </row>
    <row r="34" spans="1:94" s="816" customFormat="1" ht="15.75" customHeight="1">
      <c r="A34" s="820" t="s">
        <v>1142</v>
      </c>
      <c r="B34" s="843">
        <v>14063032</v>
      </c>
      <c r="C34" s="843">
        <v>9743592</v>
      </c>
      <c r="D34" s="843">
        <v>4376000</v>
      </c>
      <c r="E34" s="844">
        <f t="shared" si="0"/>
        <v>28182624</v>
      </c>
      <c r="F34" s="815"/>
      <c r="G34" s="849"/>
      <c r="H34" s="849"/>
      <c r="I34" s="849"/>
      <c r="J34" s="849"/>
      <c r="K34" s="849"/>
      <c r="L34" s="815"/>
      <c r="M34" s="815"/>
      <c r="N34" s="815"/>
      <c r="O34" s="815"/>
      <c r="P34" s="815"/>
      <c r="Q34" s="815"/>
      <c r="R34" s="815"/>
      <c r="S34" s="815"/>
      <c r="T34" s="815"/>
      <c r="U34" s="815"/>
      <c r="V34" s="815"/>
      <c r="W34" s="815"/>
      <c r="X34" s="815"/>
      <c r="Y34" s="815"/>
      <c r="Z34" s="815"/>
      <c r="AA34" s="815"/>
      <c r="AB34" s="815"/>
      <c r="AC34" s="815"/>
      <c r="AD34" s="815"/>
      <c r="AE34" s="815"/>
      <c r="AF34" s="815"/>
      <c r="AG34" s="815"/>
      <c r="AH34" s="815"/>
      <c r="AI34" s="815"/>
      <c r="AJ34" s="815"/>
      <c r="AK34" s="815"/>
      <c r="AL34" s="815"/>
      <c r="AM34" s="815"/>
      <c r="AN34" s="815"/>
      <c r="AO34" s="815"/>
      <c r="AP34" s="815"/>
      <c r="AQ34" s="815"/>
      <c r="AR34" s="815"/>
      <c r="AS34" s="815"/>
      <c r="AT34" s="815"/>
      <c r="AU34" s="815"/>
      <c r="AV34" s="815"/>
      <c r="AW34" s="815"/>
      <c r="AX34" s="815"/>
      <c r="AY34" s="815"/>
      <c r="AZ34" s="815"/>
      <c r="BA34" s="815"/>
      <c r="BB34" s="815"/>
      <c r="BC34" s="815"/>
      <c r="BD34" s="815"/>
      <c r="BE34" s="815"/>
      <c r="BF34" s="815"/>
      <c r="BG34" s="815"/>
      <c r="BH34" s="815"/>
      <c r="BI34" s="815"/>
      <c r="BJ34" s="815"/>
      <c r="BK34" s="815"/>
      <c r="BL34" s="815"/>
      <c r="BM34" s="815"/>
      <c r="BN34" s="815"/>
      <c r="BO34" s="815"/>
      <c r="BP34" s="815"/>
      <c r="BQ34" s="815"/>
      <c r="BR34" s="815"/>
      <c r="BS34" s="815"/>
      <c r="BT34" s="815"/>
      <c r="BU34" s="815"/>
      <c r="BV34" s="815"/>
      <c r="BW34" s="815"/>
      <c r="BX34" s="815"/>
      <c r="BY34" s="815"/>
      <c r="BZ34" s="815"/>
      <c r="CA34" s="815"/>
      <c r="CB34" s="815"/>
      <c r="CC34" s="815"/>
      <c r="CD34" s="815"/>
      <c r="CE34" s="815"/>
      <c r="CF34" s="815"/>
      <c r="CG34" s="815"/>
      <c r="CH34" s="815"/>
      <c r="CI34" s="815"/>
      <c r="CJ34" s="815"/>
      <c r="CK34" s="815"/>
      <c r="CL34" s="815"/>
      <c r="CM34" s="815"/>
      <c r="CN34" s="815"/>
      <c r="CO34" s="815"/>
      <c r="CP34" s="815"/>
    </row>
    <row r="35" spans="1:94" s="816" customFormat="1" ht="15.75" customHeight="1">
      <c r="A35" s="820" t="s">
        <v>1143</v>
      </c>
      <c r="B35" s="843">
        <v>14063032</v>
      </c>
      <c r="C35" s="843">
        <v>9743592</v>
      </c>
      <c r="D35" s="843">
        <v>4376000</v>
      </c>
      <c r="E35" s="844">
        <f t="shared" si="0"/>
        <v>28182624</v>
      </c>
      <c r="F35" s="815"/>
      <c r="G35" s="849"/>
      <c r="H35" s="849"/>
      <c r="I35" s="849"/>
      <c r="J35" s="849"/>
      <c r="K35" s="849"/>
      <c r="L35" s="815"/>
      <c r="M35" s="815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15"/>
      <c r="AG35" s="815"/>
      <c r="AH35" s="815"/>
      <c r="AI35" s="815"/>
      <c r="AJ35" s="815"/>
      <c r="AK35" s="815"/>
      <c r="AL35" s="815"/>
      <c r="AM35" s="815"/>
      <c r="AN35" s="815"/>
      <c r="AO35" s="815"/>
      <c r="AP35" s="815"/>
      <c r="AQ35" s="815"/>
      <c r="AR35" s="815"/>
      <c r="AS35" s="815"/>
      <c r="AT35" s="815"/>
      <c r="AU35" s="815"/>
      <c r="AV35" s="815"/>
      <c r="AW35" s="815"/>
      <c r="AX35" s="815"/>
      <c r="AY35" s="815"/>
      <c r="AZ35" s="815"/>
      <c r="BA35" s="815"/>
      <c r="BB35" s="815"/>
      <c r="BC35" s="815"/>
      <c r="BD35" s="815"/>
      <c r="BE35" s="815"/>
      <c r="BF35" s="815"/>
      <c r="BG35" s="815"/>
      <c r="BH35" s="815"/>
      <c r="BI35" s="815"/>
      <c r="BJ35" s="815"/>
      <c r="BK35" s="815"/>
      <c r="BL35" s="815"/>
      <c r="BM35" s="815"/>
      <c r="BN35" s="815"/>
      <c r="BO35" s="815"/>
      <c r="BP35" s="815"/>
      <c r="BQ35" s="815"/>
      <c r="BR35" s="815"/>
      <c r="BS35" s="815"/>
      <c r="BT35" s="815"/>
      <c r="BU35" s="815"/>
      <c r="BV35" s="815"/>
      <c r="BW35" s="815"/>
      <c r="BX35" s="815"/>
      <c r="BY35" s="815"/>
      <c r="BZ35" s="815"/>
      <c r="CA35" s="815"/>
      <c r="CB35" s="815"/>
      <c r="CC35" s="815"/>
      <c r="CD35" s="815"/>
      <c r="CE35" s="815"/>
      <c r="CF35" s="815"/>
      <c r="CG35" s="815"/>
      <c r="CH35" s="815"/>
      <c r="CI35" s="815"/>
      <c r="CJ35" s="815"/>
      <c r="CK35" s="815"/>
      <c r="CL35" s="815"/>
      <c r="CM35" s="815"/>
      <c r="CN35" s="815"/>
      <c r="CO35" s="815"/>
      <c r="CP35" s="815"/>
    </row>
    <row r="36" spans="1:94" s="816" customFormat="1" ht="15.75" customHeight="1">
      <c r="A36" s="820" t="s">
        <v>1144</v>
      </c>
      <c r="B36" s="843">
        <v>14063032</v>
      </c>
      <c r="C36" s="843">
        <v>9743592</v>
      </c>
      <c r="D36" s="843">
        <v>4376000</v>
      </c>
      <c r="E36" s="844">
        <f t="shared" si="0"/>
        <v>28182624</v>
      </c>
      <c r="F36" s="815"/>
      <c r="G36" s="849"/>
      <c r="H36" s="849"/>
      <c r="I36" s="849"/>
      <c r="J36" s="849"/>
      <c r="K36" s="849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  <c r="AC36" s="815"/>
      <c r="AD36" s="815"/>
      <c r="AE36" s="815"/>
      <c r="AF36" s="815"/>
      <c r="AG36" s="815"/>
      <c r="AH36" s="815"/>
      <c r="AI36" s="815"/>
      <c r="AJ36" s="815"/>
      <c r="AK36" s="815"/>
      <c r="AL36" s="815"/>
      <c r="AM36" s="815"/>
      <c r="AN36" s="815"/>
      <c r="AO36" s="815"/>
      <c r="AP36" s="815"/>
      <c r="AQ36" s="815"/>
      <c r="AR36" s="815"/>
      <c r="AS36" s="815"/>
      <c r="AT36" s="815"/>
      <c r="AU36" s="815"/>
      <c r="AV36" s="815"/>
      <c r="AW36" s="815"/>
      <c r="AX36" s="815"/>
      <c r="AY36" s="815"/>
      <c r="AZ36" s="815"/>
      <c r="BA36" s="815"/>
      <c r="BB36" s="815"/>
      <c r="BC36" s="815"/>
      <c r="BD36" s="815"/>
      <c r="BE36" s="815"/>
      <c r="BF36" s="815"/>
      <c r="BG36" s="815"/>
      <c r="BH36" s="815"/>
      <c r="BI36" s="815"/>
      <c r="BJ36" s="815"/>
      <c r="BK36" s="815"/>
      <c r="BL36" s="815"/>
      <c r="BM36" s="815"/>
      <c r="BN36" s="815"/>
      <c r="BO36" s="815"/>
      <c r="BP36" s="815"/>
      <c r="BQ36" s="815"/>
      <c r="BR36" s="815"/>
      <c r="BS36" s="815"/>
      <c r="BT36" s="815"/>
      <c r="BU36" s="815"/>
      <c r="BV36" s="815"/>
      <c r="BW36" s="815"/>
      <c r="BX36" s="815"/>
      <c r="BY36" s="815"/>
      <c r="BZ36" s="815"/>
      <c r="CA36" s="815"/>
      <c r="CB36" s="815"/>
      <c r="CC36" s="815"/>
      <c r="CD36" s="815"/>
      <c r="CE36" s="815"/>
      <c r="CF36" s="815"/>
      <c r="CG36" s="815"/>
      <c r="CH36" s="815"/>
      <c r="CI36" s="815"/>
      <c r="CJ36" s="815"/>
      <c r="CK36" s="815"/>
      <c r="CL36" s="815"/>
      <c r="CM36" s="815"/>
      <c r="CN36" s="815"/>
      <c r="CO36" s="815"/>
      <c r="CP36" s="815"/>
    </row>
    <row r="37" spans="1:94" s="816" customFormat="1" ht="15.75" customHeight="1">
      <c r="A37" s="820" t="s">
        <v>1145</v>
      </c>
      <c r="B37" s="843">
        <v>14063032</v>
      </c>
      <c r="C37" s="843">
        <v>9743592</v>
      </c>
      <c r="D37" s="843">
        <v>4376000</v>
      </c>
      <c r="E37" s="844">
        <f t="shared" si="0"/>
        <v>28182624</v>
      </c>
      <c r="F37" s="815"/>
      <c r="G37" s="849"/>
      <c r="H37" s="849"/>
      <c r="I37" s="849"/>
      <c r="J37" s="849"/>
      <c r="K37" s="849"/>
      <c r="L37" s="815"/>
      <c r="M37" s="815"/>
      <c r="N37" s="815"/>
      <c r="O37" s="815"/>
      <c r="P37" s="815"/>
      <c r="Q37" s="815"/>
      <c r="R37" s="815"/>
      <c r="S37" s="815"/>
      <c r="T37" s="815"/>
      <c r="U37" s="815"/>
      <c r="V37" s="815"/>
      <c r="W37" s="815"/>
      <c r="X37" s="815"/>
      <c r="Y37" s="815"/>
      <c r="Z37" s="815"/>
      <c r="AA37" s="815"/>
      <c r="AB37" s="815"/>
      <c r="AC37" s="815"/>
      <c r="AD37" s="815"/>
      <c r="AE37" s="815"/>
      <c r="AF37" s="815"/>
      <c r="AG37" s="815"/>
      <c r="AH37" s="815"/>
      <c r="AI37" s="815"/>
      <c r="AJ37" s="815"/>
      <c r="AK37" s="815"/>
      <c r="AL37" s="815"/>
      <c r="AM37" s="815"/>
      <c r="AN37" s="815"/>
      <c r="AO37" s="815"/>
      <c r="AP37" s="815"/>
      <c r="AQ37" s="815"/>
      <c r="AR37" s="815"/>
      <c r="AS37" s="815"/>
      <c r="AT37" s="815"/>
      <c r="AU37" s="815"/>
      <c r="AV37" s="815"/>
      <c r="AW37" s="815"/>
      <c r="AX37" s="815"/>
      <c r="AY37" s="815"/>
      <c r="AZ37" s="815"/>
      <c r="BA37" s="815"/>
      <c r="BB37" s="815"/>
      <c r="BC37" s="815"/>
      <c r="BD37" s="815"/>
      <c r="BE37" s="815"/>
      <c r="BF37" s="815"/>
      <c r="BG37" s="815"/>
      <c r="BH37" s="815"/>
      <c r="BI37" s="815"/>
      <c r="BJ37" s="815"/>
      <c r="BK37" s="815"/>
      <c r="BL37" s="815"/>
      <c r="BM37" s="815"/>
      <c r="BN37" s="815"/>
      <c r="BO37" s="815"/>
      <c r="BP37" s="815"/>
      <c r="BQ37" s="815"/>
      <c r="BR37" s="815"/>
      <c r="BS37" s="815"/>
      <c r="BT37" s="815"/>
      <c r="BU37" s="815"/>
      <c r="BV37" s="815"/>
      <c r="BW37" s="815"/>
      <c r="BX37" s="815"/>
      <c r="BY37" s="815"/>
      <c r="BZ37" s="815"/>
      <c r="CA37" s="815"/>
      <c r="CB37" s="815"/>
      <c r="CC37" s="815"/>
      <c r="CD37" s="815"/>
      <c r="CE37" s="815"/>
      <c r="CF37" s="815"/>
      <c r="CG37" s="815"/>
      <c r="CH37" s="815"/>
      <c r="CI37" s="815"/>
      <c r="CJ37" s="815"/>
      <c r="CK37" s="815"/>
      <c r="CL37" s="815"/>
      <c r="CM37" s="815"/>
      <c r="CN37" s="815"/>
      <c r="CO37" s="815"/>
      <c r="CP37" s="815"/>
    </row>
    <row r="38" spans="1:94" s="816" customFormat="1" ht="15.75" customHeight="1">
      <c r="A38" s="820" t="s">
        <v>1146</v>
      </c>
      <c r="B38" s="843">
        <v>14063032</v>
      </c>
      <c r="C38" s="843">
        <v>9743592</v>
      </c>
      <c r="D38" s="843">
        <v>4376000</v>
      </c>
      <c r="E38" s="844">
        <f t="shared" si="0"/>
        <v>28182624</v>
      </c>
      <c r="F38" s="815"/>
      <c r="G38" s="849"/>
      <c r="H38" s="849"/>
      <c r="I38" s="849"/>
      <c r="J38" s="849"/>
      <c r="K38" s="849"/>
      <c r="L38" s="815"/>
      <c r="M38" s="815"/>
      <c r="N38" s="815"/>
      <c r="O38" s="815"/>
      <c r="P38" s="815"/>
      <c r="Q38" s="815"/>
      <c r="R38" s="815"/>
      <c r="S38" s="815"/>
      <c r="T38" s="815"/>
      <c r="U38" s="815"/>
      <c r="V38" s="815"/>
      <c r="W38" s="815"/>
      <c r="X38" s="815"/>
      <c r="Y38" s="815"/>
      <c r="Z38" s="815"/>
      <c r="AA38" s="815"/>
      <c r="AB38" s="815"/>
      <c r="AC38" s="815"/>
      <c r="AD38" s="815"/>
      <c r="AE38" s="815"/>
      <c r="AF38" s="815"/>
      <c r="AG38" s="815"/>
      <c r="AH38" s="815"/>
      <c r="AI38" s="815"/>
      <c r="AJ38" s="815"/>
      <c r="AK38" s="815"/>
      <c r="AL38" s="815"/>
      <c r="AM38" s="815"/>
      <c r="AN38" s="815"/>
      <c r="AO38" s="815"/>
      <c r="AP38" s="815"/>
      <c r="AQ38" s="815"/>
      <c r="AR38" s="815"/>
      <c r="AS38" s="815"/>
      <c r="AT38" s="815"/>
      <c r="AU38" s="815"/>
      <c r="AV38" s="815"/>
      <c r="AW38" s="815"/>
      <c r="AX38" s="815"/>
      <c r="AY38" s="815"/>
      <c r="AZ38" s="815"/>
      <c r="BA38" s="815"/>
      <c r="BB38" s="815"/>
      <c r="BC38" s="815"/>
      <c r="BD38" s="815"/>
      <c r="BE38" s="815"/>
      <c r="BF38" s="815"/>
      <c r="BG38" s="815"/>
      <c r="BH38" s="815"/>
      <c r="BI38" s="815"/>
      <c r="BJ38" s="815"/>
      <c r="BK38" s="815"/>
      <c r="BL38" s="815"/>
      <c r="BM38" s="815"/>
      <c r="BN38" s="815"/>
      <c r="BO38" s="815"/>
      <c r="BP38" s="815"/>
      <c r="BQ38" s="815"/>
      <c r="BR38" s="815"/>
      <c r="BS38" s="815"/>
      <c r="BT38" s="815"/>
      <c r="BU38" s="815"/>
      <c r="BV38" s="815"/>
      <c r="BW38" s="815"/>
      <c r="BX38" s="815"/>
      <c r="BY38" s="815"/>
      <c r="BZ38" s="815"/>
      <c r="CA38" s="815"/>
      <c r="CB38" s="815"/>
      <c r="CC38" s="815"/>
      <c r="CD38" s="815"/>
      <c r="CE38" s="815"/>
      <c r="CF38" s="815"/>
      <c r="CG38" s="815"/>
      <c r="CH38" s="815"/>
      <c r="CI38" s="815"/>
      <c r="CJ38" s="815"/>
      <c r="CK38" s="815"/>
      <c r="CL38" s="815"/>
      <c r="CM38" s="815"/>
      <c r="CN38" s="815"/>
      <c r="CO38" s="815"/>
      <c r="CP38" s="815"/>
    </row>
    <row r="39" spans="1:94" s="816" customFormat="1" ht="15.75" customHeight="1">
      <c r="A39" s="820" t="s">
        <v>1147</v>
      </c>
      <c r="B39" s="843">
        <v>14063032</v>
      </c>
      <c r="C39" s="843">
        <v>9743592</v>
      </c>
      <c r="D39" s="843">
        <v>4376000</v>
      </c>
      <c r="E39" s="844">
        <f t="shared" si="0"/>
        <v>28182624</v>
      </c>
      <c r="F39" s="815"/>
      <c r="G39" s="849"/>
      <c r="H39" s="849"/>
      <c r="I39" s="849"/>
      <c r="J39" s="849"/>
      <c r="K39" s="849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  <c r="AA39" s="815"/>
      <c r="AB39" s="815"/>
      <c r="AC39" s="815"/>
      <c r="AD39" s="815"/>
      <c r="AE39" s="815"/>
      <c r="AF39" s="815"/>
      <c r="AG39" s="815"/>
      <c r="AH39" s="815"/>
      <c r="AI39" s="815"/>
      <c r="AJ39" s="815"/>
      <c r="AK39" s="815"/>
      <c r="AL39" s="815"/>
      <c r="AM39" s="815"/>
      <c r="AN39" s="815"/>
      <c r="AO39" s="815"/>
      <c r="AP39" s="815"/>
      <c r="AQ39" s="815"/>
      <c r="AR39" s="815"/>
      <c r="AS39" s="815"/>
      <c r="AT39" s="815"/>
      <c r="AU39" s="815"/>
      <c r="AV39" s="815"/>
      <c r="AW39" s="815"/>
      <c r="AX39" s="815"/>
      <c r="AY39" s="815"/>
      <c r="AZ39" s="815"/>
      <c r="BA39" s="815"/>
      <c r="BB39" s="815"/>
      <c r="BC39" s="815"/>
      <c r="BD39" s="815"/>
      <c r="BE39" s="815"/>
      <c r="BF39" s="815"/>
      <c r="BG39" s="815"/>
      <c r="BH39" s="815"/>
      <c r="BI39" s="815"/>
      <c r="BJ39" s="815"/>
      <c r="BK39" s="815"/>
      <c r="BL39" s="815"/>
      <c r="BM39" s="815"/>
      <c r="BN39" s="815"/>
      <c r="BO39" s="815"/>
      <c r="BP39" s="815"/>
      <c r="BQ39" s="815"/>
      <c r="BR39" s="815"/>
      <c r="BS39" s="815"/>
      <c r="BT39" s="815"/>
      <c r="BU39" s="815"/>
      <c r="BV39" s="815"/>
      <c r="BW39" s="815"/>
      <c r="BX39" s="815"/>
      <c r="BY39" s="815"/>
      <c r="BZ39" s="815"/>
      <c r="CA39" s="815"/>
      <c r="CB39" s="815"/>
      <c r="CC39" s="815"/>
      <c r="CD39" s="815"/>
      <c r="CE39" s="815"/>
      <c r="CF39" s="815"/>
      <c r="CG39" s="815"/>
      <c r="CH39" s="815"/>
      <c r="CI39" s="815"/>
      <c r="CJ39" s="815"/>
      <c r="CK39" s="815"/>
      <c r="CL39" s="815"/>
      <c r="CM39" s="815"/>
      <c r="CN39" s="815"/>
      <c r="CO39" s="815"/>
      <c r="CP39" s="815"/>
    </row>
    <row r="40" spans="1:94" s="816" customFormat="1" ht="15.75" customHeight="1">
      <c r="A40" s="820" t="s">
        <v>1148</v>
      </c>
      <c r="B40" s="843">
        <v>14063032</v>
      </c>
      <c r="C40" s="843">
        <v>9743592</v>
      </c>
      <c r="D40" s="843">
        <v>4376000</v>
      </c>
      <c r="E40" s="844">
        <f t="shared" si="0"/>
        <v>28182624</v>
      </c>
      <c r="F40" s="815"/>
      <c r="G40" s="849"/>
      <c r="H40" s="849"/>
      <c r="I40" s="849"/>
      <c r="J40" s="849"/>
      <c r="K40" s="849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  <c r="AA40" s="815"/>
      <c r="AB40" s="815"/>
      <c r="AC40" s="815"/>
      <c r="AD40" s="815"/>
      <c r="AE40" s="815"/>
      <c r="AF40" s="815"/>
      <c r="AG40" s="815"/>
      <c r="AH40" s="815"/>
      <c r="AI40" s="815"/>
      <c r="AJ40" s="815"/>
      <c r="AK40" s="815"/>
      <c r="AL40" s="815"/>
      <c r="AM40" s="815"/>
      <c r="AN40" s="815"/>
      <c r="AO40" s="815"/>
      <c r="AP40" s="815"/>
      <c r="AQ40" s="815"/>
      <c r="AR40" s="815"/>
      <c r="AS40" s="815"/>
      <c r="AT40" s="815"/>
      <c r="AU40" s="815"/>
      <c r="AV40" s="815"/>
      <c r="AW40" s="815"/>
      <c r="AX40" s="815"/>
      <c r="AY40" s="815"/>
      <c r="AZ40" s="815"/>
      <c r="BA40" s="815"/>
      <c r="BB40" s="815"/>
      <c r="BC40" s="815"/>
      <c r="BD40" s="815"/>
      <c r="BE40" s="815"/>
      <c r="BF40" s="815"/>
      <c r="BG40" s="815"/>
      <c r="BH40" s="815"/>
      <c r="BI40" s="815"/>
      <c r="BJ40" s="815"/>
      <c r="BK40" s="815"/>
      <c r="BL40" s="815"/>
      <c r="BM40" s="815"/>
      <c r="BN40" s="815"/>
      <c r="BO40" s="815"/>
      <c r="BP40" s="815"/>
      <c r="BQ40" s="815"/>
      <c r="BR40" s="815"/>
      <c r="BS40" s="815"/>
      <c r="BT40" s="815"/>
      <c r="BU40" s="815"/>
      <c r="BV40" s="815"/>
      <c r="BW40" s="815"/>
      <c r="BX40" s="815"/>
      <c r="BY40" s="815"/>
      <c r="BZ40" s="815"/>
      <c r="CA40" s="815"/>
      <c r="CB40" s="815"/>
      <c r="CC40" s="815"/>
      <c r="CD40" s="815"/>
      <c r="CE40" s="815"/>
      <c r="CF40" s="815"/>
      <c r="CG40" s="815"/>
      <c r="CH40" s="815"/>
      <c r="CI40" s="815"/>
      <c r="CJ40" s="815"/>
      <c r="CK40" s="815"/>
      <c r="CL40" s="815"/>
      <c r="CM40" s="815"/>
      <c r="CN40" s="815"/>
      <c r="CO40" s="815"/>
      <c r="CP40" s="815"/>
    </row>
    <row r="41" spans="1:94" s="816" customFormat="1" ht="15.75" customHeight="1">
      <c r="A41" s="820" t="s">
        <v>1149</v>
      </c>
      <c r="B41" s="843">
        <v>14063032</v>
      </c>
      <c r="C41" s="843">
        <v>9743592</v>
      </c>
      <c r="D41" s="843">
        <v>4376000</v>
      </c>
      <c r="E41" s="844">
        <f t="shared" si="0"/>
        <v>28182624</v>
      </c>
      <c r="F41" s="815"/>
      <c r="G41" s="849"/>
      <c r="H41" s="849"/>
      <c r="I41" s="849"/>
      <c r="J41" s="849"/>
      <c r="K41" s="849"/>
      <c r="L41" s="815"/>
      <c r="M41" s="815"/>
      <c r="N41" s="815"/>
      <c r="O41" s="815"/>
      <c r="P41" s="815"/>
      <c r="Q41" s="815"/>
      <c r="R41" s="815"/>
      <c r="S41" s="815"/>
      <c r="T41" s="815"/>
      <c r="U41" s="815"/>
      <c r="V41" s="815"/>
      <c r="W41" s="815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15"/>
      <c r="AK41" s="815"/>
      <c r="AL41" s="815"/>
      <c r="AM41" s="815"/>
      <c r="AN41" s="815"/>
      <c r="AO41" s="815"/>
      <c r="AP41" s="815"/>
      <c r="AQ41" s="815"/>
      <c r="AR41" s="815"/>
      <c r="AS41" s="815"/>
      <c r="AT41" s="815"/>
      <c r="AU41" s="815"/>
      <c r="AV41" s="815"/>
      <c r="AW41" s="815"/>
      <c r="AX41" s="815"/>
      <c r="AY41" s="815"/>
      <c r="AZ41" s="815"/>
      <c r="BA41" s="815"/>
      <c r="BB41" s="815"/>
      <c r="BC41" s="815"/>
      <c r="BD41" s="815"/>
      <c r="BE41" s="815"/>
      <c r="BF41" s="815"/>
      <c r="BG41" s="815"/>
      <c r="BH41" s="815"/>
      <c r="BI41" s="815"/>
      <c r="BJ41" s="815"/>
      <c r="BK41" s="815"/>
      <c r="BL41" s="815"/>
      <c r="BM41" s="815"/>
      <c r="BN41" s="815"/>
      <c r="BO41" s="815"/>
      <c r="BP41" s="815"/>
      <c r="BQ41" s="815"/>
      <c r="BR41" s="815"/>
      <c r="BS41" s="815"/>
      <c r="BT41" s="815"/>
      <c r="BU41" s="815"/>
      <c r="BV41" s="815"/>
      <c r="BW41" s="815"/>
      <c r="BX41" s="815"/>
      <c r="BY41" s="815"/>
      <c r="BZ41" s="815"/>
      <c r="CA41" s="815"/>
      <c r="CB41" s="815"/>
      <c r="CC41" s="815"/>
      <c r="CD41" s="815"/>
      <c r="CE41" s="815"/>
      <c r="CF41" s="815"/>
      <c r="CG41" s="815"/>
      <c r="CH41" s="815"/>
      <c r="CI41" s="815"/>
      <c r="CJ41" s="815"/>
      <c r="CK41" s="815"/>
      <c r="CL41" s="815"/>
      <c r="CM41" s="815"/>
      <c r="CN41" s="815"/>
      <c r="CO41" s="815"/>
      <c r="CP41" s="815"/>
    </row>
    <row r="42" spans="1:94" s="816" customFormat="1" ht="15.75" customHeight="1">
      <c r="A42" s="820" t="s">
        <v>1150</v>
      </c>
      <c r="B42" s="843">
        <v>7031547</v>
      </c>
      <c r="C42" s="843">
        <v>9743629</v>
      </c>
      <c r="D42" s="843">
        <v>4334633</v>
      </c>
      <c r="E42" s="844">
        <f t="shared" si="0"/>
        <v>21109809</v>
      </c>
      <c r="F42" s="815"/>
      <c r="G42" s="849"/>
      <c r="H42" s="849"/>
      <c r="I42" s="849"/>
      <c r="J42" s="849"/>
      <c r="K42" s="849"/>
      <c r="L42" s="815"/>
      <c r="M42" s="815"/>
      <c r="N42" s="815"/>
      <c r="O42" s="815"/>
      <c r="P42" s="815"/>
      <c r="Q42" s="815"/>
      <c r="R42" s="815"/>
      <c r="S42" s="815"/>
      <c r="T42" s="815"/>
      <c r="U42" s="815"/>
      <c r="V42" s="815"/>
      <c r="W42" s="815"/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  <c r="AP42" s="815"/>
      <c r="AQ42" s="815"/>
      <c r="AR42" s="815"/>
      <c r="AS42" s="815"/>
      <c r="AT42" s="815"/>
      <c r="AU42" s="815"/>
      <c r="AV42" s="815"/>
      <c r="AW42" s="815"/>
      <c r="AX42" s="815"/>
      <c r="AY42" s="815"/>
      <c r="AZ42" s="815"/>
      <c r="BA42" s="815"/>
      <c r="BB42" s="815"/>
      <c r="BC42" s="815"/>
      <c r="BD42" s="815"/>
      <c r="BE42" s="815"/>
      <c r="BF42" s="815"/>
      <c r="BG42" s="815"/>
      <c r="BH42" s="815"/>
      <c r="BI42" s="815"/>
      <c r="BJ42" s="815"/>
      <c r="BK42" s="815"/>
      <c r="BL42" s="815"/>
      <c r="BM42" s="815"/>
      <c r="BN42" s="815"/>
      <c r="BO42" s="815"/>
      <c r="BP42" s="815"/>
      <c r="BQ42" s="815"/>
      <c r="BR42" s="815"/>
      <c r="BS42" s="815"/>
      <c r="BT42" s="815"/>
      <c r="BU42" s="815"/>
      <c r="BV42" s="815"/>
      <c r="BW42" s="815"/>
      <c r="BX42" s="815"/>
      <c r="BY42" s="815"/>
      <c r="BZ42" s="815"/>
      <c r="CA42" s="815"/>
      <c r="CB42" s="815"/>
      <c r="CC42" s="815"/>
      <c r="CD42" s="815"/>
      <c r="CE42" s="815"/>
      <c r="CF42" s="815"/>
      <c r="CG42" s="815"/>
      <c r="CH42" s="815"/>
      <c r="CI42" s="815"/>
      <c r="CJ42" s="815"/>
      <c r="CK42" s="815"/>
      <c r="CL42" s="815"/>
      <c r="CM42" s="815"/>
      <c r="CN42" s="815"/>
      <c r="CO42" s="815"/>
      <c r="CP42" s="815"/>
    </row>
    <row r="43" spans="1:94" s="816" customFormat="1" ht="15.75" customHeight="1">
      <c r="A43" s="850" t="s">
        <v>1151</v>
      </c>
      <c r="B43" s="851"/>
      <c r="C43" s="851"/>
      <c r="D43" s="852"/>
      <c r="E43" s="844">
        <f t="shared" si="0"/>
        <v>0</v>
      </c>
      <c r="F43" s="815"/>
      <c r="G43" s="849"/>
      <c r="H43" s="849"/>
      <c r="I43" s="849"/>
      <c r="J43" s="849"/>
      <c r="K43" s="849"/>
      <c r="L43" s="815"/>
      <c r="M43" s="815"/>
      <c r="N43" s="815"/>
      <c r="O43" s="815"/>
      <c r="P43" s="815"/>
      <c r="Q43" s="815"/>
      <c r="R43" s="815"/>
      <c r="S43" s="815"/>
      <c r="T43" s="815"/>
      <c r="U43" s="815"/>
      <c r="V43" s="815"/>
      <c r="W43" s="815"/>
      <c r="X43" s="815"/>
      <c r="Y43" s="815"/>
      <c r="Z43" s="815"/>
      <c r="AA43" s="815"/>
      <c r="AB43" s="815"/>
      <c r="AC43" s="815"/>
      <c r="AD43" s="815"/>
      <c r="AE43" s="815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  <c r="AP43" s="815"/>
      <c r="AQ43" s="815"/>
      <c r="AR43" s="815"/>
      <c r="AS43" s="815"/>
      <c r="AT43" s="815"/>
      <c r="AU43" s="815"/>
      <c r="AV43" s="815"/>
      <c r="AW43" s="815"/>
      <c r="AX43" s="815"/>
      <c r="AY43" s="815"/>
      <c r="AZ43" s="815"/>
      <c r="BA43" s="815"/>
      <c r="BB43" s="815"/>
      <c r="BC43" s="815"/>
      <c r="BD43" s="815"/>
      <c r="BE43" s="815"/>
      <c r="BF43" s="815"/>
      <c r="BG43" s="815"/>
      <c r="BH43" s="815"/>
      <c r="BI43" s="815"/>
      <c r="BJ43" s="815"/>
      <c r="BK43" s="815"/>
      <c r="BL43" s="815"/>
      <c r="BM43" s="815"/>
      <c r="BN43" s="815"/>
      <c r="BO43" s="815"/>
      <c r="BP43" s="815"/>
      <c r="BQ43" s="815"/>
      <c r="BR43" s="815"/>
      <c r="BS43" s="815"/>
      <c r="BT43" s="815"/>
      <c r="BU43" s="815"/>
      <c r="BV43" s="815"/>
      <c r="BW43" s="815"/>
      <c r="BX43" s="815"/>
      <c r="BY43" s="815"/>
      <c r="BZ43" s="815"/>
      <c r="CA43" s="815"/>
      <c r="CB43" s="815"/>
      <c r="CC43" s="815"/>
      <c r="CD43" s="815"/>
      <c r="CE43" s="815"/>
      <c r="CF43" s="815"/>
      <c r="CG43" s="815"/>
      <c r="CH43" s="815"/>
      <c r="CI43" s="815"/>
      <c r="CJ43" s="815"/>
      <c r="CK43" s="815"/>
      <c r="CL43" s="815"/>
      <c r="CM43" s="815"/>
      <c r="CN43" s="815"/>
      <c r="CO43" s="815"/>
      <c r="CP43" s="815"/>
    </row>
    <row r="44" spans="1:94" s="857" customFormat="1" ht="31.5" customHeight="1" thickBot="1">
      <c r="A44" s="853" t="s">
        <v>1349</v>
      </c>
      <c r="B44" s="854">
        <f>SUM(B22:B43)</f>
        <v>274229155</v>
      </c>
      <c r="C44" s="854">
        <f>SUM(C22:C43)</f>
        <v>197307775</v>
      </c>
      <c r="D44" s="854">
        <f>SUM(D22:D43)</f>
        <v>88572633</v>
      </c>
      <c r="E44" s="854">
        <f>SUM(E22:E43)</f>
        <v>560109563</v>
      </c>
      <c r="F44" s="855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  <c r="S44" s="856"/>
      <c r="T44" s="856"/>
      <c r="U44" s="856"/>
      <c r="V44" s="856"/>
      <c r="W44" s="856"/>
      <c r="X44" s="856"/>
      <c r="Y44" s="856"/>
      <c r="Z44" s="856"/>
      <c r="AA44" s="856"/>
      <c r="AB44" s="856"/>
      <c r="AC44" s="856"/>
      <c r="AD44" s="856"/>
      <c r="AE44" s="856"/>
      <c r="AF44" s="856"/>
      <c r="AG44" s="856"/>
      <c r="AH44" s="856"/>
      <c r="AI44" s="856"/>
      <c r="AJ44" s="856"/>
      <c r="AK44" s="856"/>
      <c r="AL44" s="856"/>
      <c r="AM44" s="856"/>
      <c r="AN44" s="856"/>
      <c r="AO44" s="856"/>
      <c r="AP44" s="856"/>
      <c r="AQ44" s="856"/>
      <c r="AR44" s="856"/>
      <c r="AS44" s="856"/>
      <c r="AT44" s="856"/>
      <c r="AU44" s="856"/>
      <c r="AV44" s="856"/>
      <c r="AW44" s="856"/>
      <c r="AX44" s="856"/>
      <c r="AY44" s="856"/>
      <c r="AZ44" s="856"/>
      <c r="BA44" s="856"/>
      <c r="BB44" s="856"/>
      <c r="BC44" s="856"/>
      <c r="BD44" s="856"/>
      <c r="BE44" s="856"/>
      <c r="BF44" s="856"/>
      <c r="BG44" s="856"/>
      <c r="BH44" s="856"/>
      <c r="BI44" s="856"/>
      <c r="BJ44" s="856"/>
      <c r="BK44" s="856"/>
      <c r="BL44" s="856"/>
      <c r="BM44" s="856"/>
      <c r="BN44" s="856"/>
      <c r="BO44" s="856"/>
      <c r="BP44" s="856"/>
      <c r="BQ44" s="856"/>
      <c r="BR44" s="856"/>
      <c r="BS44" s="856"/>
      <c r="BT44" s="856"/>
      <c r="BU44" s="856"/>
      <c r="BV44" s="856"/>
      <c r="BW44" s="856"/>
      <c r="BX44" s="856"/>
      <c r="BY44" s="856"/>
      <c r="BZ44" s="856"/>
      <c r="CA44" s="856"/>
      <c r="CB44" s="856"/>
      <c r="CC44" s="856"/>
      <c r="CD44" s="856"/>
      <c r="CE44" s="856"/>
      <c r="CF44" s="856"/>
      <c r="CG44" s="856"/>
      <c r="CH44" s="856"/>
      <c r="CI44" s="856"/>
      <c r="CJ44" s="856"/>
      <c r="CK44" s="856"/>
      <c r="CL44" s="856"/>
      <c r="CM44" s="856"/>
      <c r="CN44" s="856"/>
      <c r="CO44" s="856"/>
      <c r="CP44" s="856"/>
    </row>
    <row r="45" spans="1:7" s="861" customFormat="1" ht="31.5" customHeight="1" thickBot="1" thickTop="1">
      <c r="A45" s="858" t="s">
        <v>1348</v>
      </c>
      <c r="B45" s="859">
        <f>+B44-B23</f>
        <v>260166123</v>
      </c>
      <c r="C45" s="859">
        <f>+C44-C22-C23</f>
        <v>185128285</v>
      </c>
      <c r="D45" s="859">
        <f>+D44-D22-D23</f>
        <v>83102633</v>
      </c>
      <c r="E45" s="859">
        <f>SUM(B45:D45)</f>
        <v>528397041</v>
      </c>
      <c r="F45" s="860"/>
      <c r="G45" s="860"/>
    </row>
    <row r="46" spans="1:6" s="815" customFormat="1" ht="11.25" customHeight="1" thickTop="1">
      <c r="A46" s="862"/>
      <c r="B46" s="863"/>
      <c r="C46" s="863"/>
      <c r="D46" s="863"/>
      <c r="E46" s="863"/>
      <c r="F46" s="864"/>
    </row>
    <row r="47" spans="1:7" s="867" customFormat="1" ht="16.5" customHeight="1">
      <c r="A47" s="865" t="s">
        <v>1152</v>
      </c>
      <c r="B47" s="865"/>
      <c r="C47" s="866"/>
      <c r="D47" s="866"/>
      <c r="F47" s="868"/>
      <c r="G47" s="868"/>
    </row>
    <row r="48" spans="1:7" s="865" customFormat="1" ht="21" customHeight="1">
      <c r="A48" s="1445" t="s">
        <v>1153</v>
      </c>
      <c r="B48" s="1445"/>
      <c r="C48" s="815"/>
      <c r="D48" s="815"/>
      <c r="E48" s="815"/>
      <c r="F48" s="869"/>
      <c r="G48" s="869"/>
    </row>
    <row r="49" spans="1:8" s="815" customFormat="1" ht="11.25">
      <c r="A49" s="870"/>
      <c r="F49" s="871"/>
      <c r="H49" s="871"/>
    </row>
    <row r="50" spans="1:6" s="815" customFormat="1" ht="11.25">
      <c r="A50" s="870"/>
      <c r="B50" s="871"/>
      <c r="F50" s="871"/>
    </row>
    <row r="51" s="815" customFormat="1" ht="11.25"/>
    <row r="52" s="815" customFormat="1" ht="11.25"/>
    <row r="53" s="815" customFormat="1" ht="11.25">
      <c r="B53" s="864"/>
    </row>
    <row r="54" s="815" customFormat="1" ht="11.25"/>
    <row r="55" s="815" customFormat="1" ht="11.25">
      <c r="B55" s="871"/>
    </row>
    <row r="56" spans="1:94" s="872" customFormat="1" ht="11.25">
      <c r="A56" s="815"/>
      <c r="B56" s="815"/>
      <c r="C56" s="815"/>
      <c r="D56" s="815"/>
      <c r="E56" s="815"/>
      <c r="F56" s="815"/>
      <c r="G56" s="815"/>
      <c r="H56" s="815"/>
      <c r="I56" s="815"/>
      <c r="J56" s="815"/>
      <c r="K56" s="815"/>
      <c r="L56" s="815"/>
      <c r="M56" s="815"/>
      <c r="N56" s="815"/>
      <c r="O56" s="815"/>
      <c r="P56" s="815"/>
      <c r="Q56" s="815"/>
      <c r="R56" s="815"/>
      <c r="S56" s="815"/>
      <c r="T56" s="815"/>
      <c r="U56" s="815"/>
      <c r="V56" s="815"/>
      <c r="W56" s="815"/>
      <c r="X56" s="815"/>
      <c r="Y56" s="815"/>
      <c r="Z56" s="815"/>
      <c r="AA56" s="815"/>
      <c r="AB56" s="815"/>
      <c r="AC56" s="815"/>
      <c r="AD56" s="815"/>
      <c r="AE56" s="815"/>
      <c r="AF56" s="815"/>
      <c r="AG56" s="815"/>
      <c r="AH56" s="815"/>
      <c r="AI56" s="815"/>
      <c r="AJ56" s="815"/>
      <c r="AK56" s="815"/>
      <c r="AL56" s="815"/>
      <c r="AM56" s="815"/>
      <c r="AN56" s="815"/>
      <c r="AO56" s="815"/>
      <c r="AP56" s="815"/>
      <c r="AQ56" s="815"/>
      <c r="AR56" s="815"/>
      <c r="AS56" s="815"/>
      <c r="AT56" s="815"/>
      <c r="AU56" s="815"/>
      <c r="AV56" s="815"/>
      <c r="AW56" s="815"/>
      <c r="AX56" s="815"/>
      <c r="AY56" s="815"/>
      <c r="AZ56" s="815"/>
      <c r="BA56" s="815"/>
      <c r="BB56" s="815"/>
      <c r="BC56" s="815"/>
      <c r="BD56" s="815"/>
      <c r="BE56" s="815"/>
      <c r="BF56" s="815"/>
      <c r="BG56" s="815"/>
      <c r="BH56" s="815"/>
      <c r="BI56" s="815"/>
      <c r="BJ56" s="815"/>
      <c r="BK56" s="815"/>
      <c r="BL56" s="815"/>
      <c r="BM56" s="815"/>
      <c r="BN56" s="815"/>
      <c r="BO56" s="815"/>
      <c r="BP56" s="815"/>
      <c r="BQ56" s="815"/>
      <c r="BR56" s="815"/>
      <c r="BS56" s="815"/>
      <c r="BT56" s="815"/>
      <c r="BU56" s="815"/>
      <c r="BV56" s="815"/>
      <c r="BW56" s="815"/>
      <c r="BX56" s="815"/>
      <c r="BY56" s="815"/>
      <c r="BZ56" s="815"/>
      <c r="CA56" s="815"/>
      <c r="CB56" s="815"/>
      <c r="CC56" s="815"/>
      <c r="CD56" s="815"/>
      <c r="CE56" s="815"/>
      <c r="CF56" s="815"/>
      <c r="CG56" s="815"/>
      <c r="CH56" s="815"/>
      <c r="CI56" s="815"/>
      <c r="CJ56" s="815"/>
      <c r="CK56" s="815"/>
      <c r="CL56" s="815"/>
      <c r="CM56" s="815"/>
      <c r="CN56" s="815"/>
      <c r="CO56" s="815"/>
      <c r="CP56" s="815"/>
    </row>
    <row r="57" spans="1:94" ht="11.25">
      <c r="A57" s="815"/>
      <c r="B57" s="815"/>
      <c r="C57" s="815"/>
      <c r="D57" s="815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  <c r="P57" s="815"/>
      <c r="Q57" s="815"/>
      <c r="R57" s="815"/>
      <c r="S57" s="815"/>
      <c r="T57" s="815"/>
      <c r="U57" s="815"/>
      <c r="V57" s="815"/>
      <c r="W57" s="815"/>
      <c r="X57" s="815"/>
      <c r="Y57" s="815"/>
      <c r="Z57" s="815"/>
      <c r="AA57" s="815"/>
      <c r="AB57" s="815"/>
      <c r="AC57" s="815"/>
      <c r="AD57" s="815"/>
      <c r="AE57" s="815"/>
      <c r="AF57" s="815"/>
      <c r="AG57" s="815"/>
      <c r="AH57" s="815"/>
      <c r="AI57" s="815"/>
      <c r="AJ57" s="815"/>
      <c r="AK57" s="815"/>
      <c r="AL57" s="815"/>
      <c r="AM57" s="815"/>
      <c r="AN57" s="815"/>
      <c r="AO57" s="815"/>
      <c r="AP57" s="815"/>
      <c r="AQ57" s="815"/>
      <c r="AR57" s="815"/>
      <c r="AS57" s="815"/>
      <c r="AT57" s="815"/>
      <c r="AU57" s="815"/>
      <c r="AV57" s="815"/>
      <c r="AW57" s="815"/>
      <c r="AX57" s="815"/>
      <c r="AY57" s="815"/>
      <c r="AZ57" s="815"/>
      <c r="BA57" s="815"/>
      <c r="BB57" s="815"/>
      <c r="BC57" s="815"/>
      <c r="BD57" s="815"/>
      <c r="BE57" s="815"/>
      <c r="BF57" s="815"/>
      <c r="BG57" s="815"/>
      <c r="BH57" s="815"/>
      <c r="BI57" s="815"/>
      <c r="BJ57" s="815"/>
      <c r="BK57" s="815"/>
      <c r="BL57" s="815"/>
      <c r="BM57" s="815"/>
      <c r="BN57" s="815"/>
      <c r="BO57" s="815"/>
      <c r="BP57" s="815"/>
      <c r="BQ57" s="815"/>
      <c r="BR57" s="815"/>
      <c r="BS57" s="815"/>
      <c r="BT57" s="815"/>
      <c r="BU57" s="815"/>
      <c r="BV57" s="815"/>
      <c r="BW57" s="815"/>
      <c r="BX57" s="815"/>
      <c r="BY57" s="815"/>
      <c r="BZ57" s="815"/>
      <c r="CA57" s="815"/>
      <c r="CB57" s="815"/>
      <c r="CC57" s="815"/>
      <c r="CD57" s="815"/>
      <c r="CE57" s="815"/>
      <c r="CF57" s="815"/>
      <c r="CG57" s="815"/>
      <c r="CH57" s="815"/>
      <c r="CI57" s="815"/>
      <c r="CJ57" s="815"/>
      <c r="CK57" s="815"/>
      <c r="CL57" s="815"/>
      <c r="CM57" s="815"/>
      <c r="CN57" s="815"/>
      <c r="CO57" s="815"/>
      <c r="CP57" s="815"/>
    </row>
    <row r="58" spans="1:94" ht="11.25">
      <c r="A58" s="815"/>
      <c r="B58" s="815"/>
      <c r="C58" s="815"/>
      <c r="D58" s="815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  <c r="Q58" s="815"/>
      <c r="R58" s="815"/>
      <c r="S58" s="815"/>
      <c r="T58" s="815"/>
      <c r="U58" s="815"/>
      <c r="V58" s="815"/>
      <c r="W58" s="815"/>
      <c r="X58" s="815"/>
      <c r="Y58" s="815"/>
      <c r="Z58" s="815"/>
      <c r="AA58" s="815"/>
      <c r="AB58" s="815"/>
      <c r="AC58" s="815"/>
      <c r="AD58" s="815"/>
      <c r="AE58" s="815"/>
      <c r="AF58" s="815"/>
      <c r="AG58" s="815"/>
      <c r="AH58" s="815"/>
      <c r="AI58" s="815"/>
      <c r="AJ58" s="815"/>
      <c r="AK58" s="815"/>
      <c r="AL58" s="815"/>
      <c r="AM58" s="815"/>
      <c r="AN58" s="815"/>
      <c r="AO58" s="815"/>
      <c r="AP58" s="815"/>
      <c r="AQ58" s="815"/>
      <c r="AR58" s="815"/>
      <c r="AS58" s="815"/>
      <c r="AT58" s="815"/>
      <c r="AU58" s="815"/>
      <c r="AV58" s="815"/>
      <c r="AW58" s="815"/>
      <c r="AX58" s="815"/>
      <c r="AY58" s="815"/>
      <c r="AZ58" s="815"/>
      <c r="BA58" s="815"/>
      <c r="BB58" s="815"/>
      <c r="BC58" s="815"/>
      <c r="BD58" s="815"/>
      <c r="BE58" s="815"/>
      <c r="BF58" s="815"/>
      <c r="BG58" s="815"/>
      <c r="BH58" s="815"/>
      <c r="BI58" s="815"/>
      <c r="BJ58" s="815"/>
      <c r="BK58" s="815"/>
      <c r="BL58" s="815"/>
      <c r="BM58" s="815"/>
      <c r="BN58" s="815"/>
      <c r="BO58" s="815"/>
      <c r="BP58" s="815"/>
      <c r="BQ58" s="815"/>
      <c r="BR58" s="815"/>
      <c r="BS58" s="815"/>
      <c r="BT58" s="815"/>
      <c r="BU58" s="815"/>
      <c r="BV58" s="815"/>
      <c r="BW58" s="815"/>
      <c r="BX58" s="815"/>
      <c r="BY58" s="815"/>
      <c r="BZ58" s="815"/>
      <c r="CA58" s="815"/>
      <c r="CB58" s="815"/>
      <c r="CC58" s="815"/>
      <c r="CD58" s="815"/>
      <c r="CE58" s="815"/>
      <c r="CF58" s="815"/>
      <c r="CG58" s="815"/>
      <c r="CH58" s="815"/>
      <c r="CI58" s="815"/>
      <c r="CJ58" s="815"/>
      <c r="CK58" s="815"/>
      <c r="CL58" s="815"/>
      <c r="CM58" s="815"/>
      <c r="CN58" s="815"/>
      <c r="CO58" s="815"/>
      <c r="CP58" s="815"/>
    </row>
    <row r="59" spans="1:94" ht="11.25">
      <c r="A59" s="815"/>
      <c r="B59" s="815"/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5"/>
      <c r="P59" s="815"/>
      <c r="Q59" s="815"/>
      <c r="R59" s="815"/>
      <c r="S59" s="815"/>
      <c r="T59" s="815"/>
      <c r="U59" s="815"/>
      <c r="V59" s="815"/>
      <c r="W59" s="815"/>
      <c r="X59" s="815"/>
      <c r="Y59" s="815"/>
      <c r="Z59" s="815"/>
      <c r="AA59" s="815"/>
      <c r="AB59" s="815"/>
      <c r="AC59" s="815"/>
      <c r="AD59" s="815"/>
      <c r="AE59" s="815"/>
      <c r="AF59" s="815"/>
      <c r="AG59" s="815"/>
      <c r="AH59" s="815"/>
      <c r="AI59" s="815"/>
      <c r="AJ59" s="815"/>
      <c r="AK59" s="815"/>
      <c r="AL59" s="815"/>
      <c r="AM59" s="815"/>
      <c r="AN59" s="815"/>
      <c r="AO59" s="815"/>
      <c r="AP59" s="815"/>
      <c r="AQ59" s="815"/>
      <c r="AR59" s="815"/>
      <c r="AS59" s="815"/>
      <c r="AT59" s="815"/>
      <c r="AU59" s="815"/>
      <c r="AV59" s="815"/>
      <c r="AW59" s="815"/>
      <c r="AX59" s="815"/>
      <c r="AY59" s="815"/>
      <c r="AZ59" s="815"/>
      <c r="BA59" s="815"/>
      <c r="BB59" s="815"/>
      <c r="BC59" s="815"/>
      <c r="BD59" s="815"/>
      <c r="BE59" s="815"/>
      <c r="BF59" s="815"/>
      <c r="BG59" s="815"/>
      <c r="BH59" s="815"/>
      <c r="BI59" s="815"/>
      <c r="BJ59" s="815"/>
      <c r="BK59" s="815"/>
      <c r="BL59" s="815"/>
      <c r="BM59" s="815"/>
      <c r="BN59" s="815"/>
      <c r="BO59" s="815"/>
      <c r="BP59" s="815"/>
      <c r="BQ59" s="815"/>
      <c r="BR59" s="815"/>
      <c r="BS59" s="815"/>
      <c r="BT59" s="815"/>
      <c r="BU59" s="815"/>
      <c r="BV59" s="815"/>
      <c r="BW59" s="815"/>
      <c r="BX59" s="815"/>
      <c r="BY59" s="815"/>
      <c r="BZ59" s="815"/>
      <c r="CA59" s="815"/>
      <c r="CB59" s="815"/>
      <c r="CC59" s="815"/>
      <c r="CD59" s="815"/>
      <c r="CE59" s="815"/>
      <c r="CF59" s="815"/>
      <c r="CG59" s="815"/>
      <c r="CH59" s="815"/>
      <c r="CI59" s="815"/>
      <c r="CJ59" s="815"/>
      <c r="CK59" s="815"/>
      <c r="CL59" s="815"/>
      <c r="CM59" s="815"/>
      <c r="CN59" s="815"/>
      <c r="CO59" s="815"/>
      <c r="CP59" s="815"/>
    </row>
    <row r="60" spans="1:94" ht="11.25">
      <c r="A60" s="815"/>
      <c r="B60" s="815"/>
      <c r="C60" s="815"/>
      <c r="D60" s="815"/>
      <c r="E60" s="815"/>
      <c r="F60" s="815"/>
      <c r="G60" s="815"/>
      <c r="H60" s="815"/>
      <c r="I60" s="815"/>
      <c r="J60" s="815"/>
      <c r="K60" s="815"/>
      <c r="L60" s="815"/>
      <c r="M60" s="815"/>
      <c r="N60" s="815"/>
      <c r="O60" s="815"/>
      <c r="P60" s="815"/>
      <c r="Q60" s="815"/>
      <c r="R60" s="815"/>
      <c r="S60" s="815"/>
      <c r="T60" s="815"/>
      <c r="U60" s="815"/>
      <c r="V60" s="815"/>
      <c r="W60" s="815"/>
      <c r="X60" s="815"/>
      <c r="Y60" s="815"/>
      <c r="Z60" s="815"/>
      <c r="AA60" s="815"/>
      <c r="AB60" s="815"/>
      <c r="AC60" s="815"/>
      <c r="AD60" s="815"/>
      <c r="AE60" s="815"/>
      <c r="AF60" s="815"/>
      <c r="AG60" s="815"/>
      <c r="AH60" s="815"/>
      <c r="AI60" s="815"/>
      <c r="AJ60" s="815"/>
      <c r="AK60" s="815"/>
      <c r="AL60" s="815"/>
      <c r="AM60" s="815"/>
      <c r="AN60" s="815"/>
      <c r="AO60" s="815"/>
      <c r="AP60" s="815"/>
      <c r="AQ60" s="815"/>
      <c r="AR60" s="815"/>
      <c r="AS60" s="815"/>
      <c r="AT60" s="815"/>
      <c r="AU60" s="815"/>
      <c r="AV60" s="815"/>
      <c r="AW60" s="815"/>
      <c r="AX60" s="815"/>
      <c r="AY60" s="815"/>
      <c r="AZ60" s="815"/>
      <c r="BA60" s="815"/>
      <c r="BB60" s="815"/>
      <c r="BC60" s="815"/>
      <c r="BD60" s="815"/>
      <c r="BE60" s="815"/>
      <c r="BF60" s="815"/>
      <c r="BG60" s="815"/>
      <c r="BH60" s="815"/>
      <c r="BI60" s="815"/>
      <c r="BJ60" s="815"/>
      <c r="BK60" s="815"/>
      <c r="BL60" s="815"/>
      <c r="BM60" s="815"/>
      <c r="BN60" s="815"/>
      <c r="BO60" s="815"/>
      <c r="BP60" s="815"/>
      <c r="BQ60" s="815"/>
      <c r="BR60" s="815"/>
      <c r="BS60" s="815"/>
      <c r="BT60" s="815"/>
      <c r="BU60" s="815"/>
      <c r="BV60" s="815"/>
      <c r="BW60" s="815"/>
      <c r="BX60" s="815"/>
      <c r="BY60" s="815"/>
      <c r="BZ60" s="815"/>
      <c r="CA60" s="815"/>
      <c r="CB60" s="815"/>
      <c r="CC60" s="815"/>
      <c r="CD60" s="815"/>
      <c r="CE60" s="815"/>
      <c r="CF60" s="815"/>
      <c r="CG60" s="815"/>
      <c r="CH60" s="815"/>
      <c r="CI60" s="815"/>
      <c r="CJ60" s="815"/>
      <c r="CK60" s="815"/>
      <c r="CL60" s="815"/>
      <c r="CM60" s="815"/>
      <c r="CN60" s="815"/>
      <c r="CO60" s="815"/>
      <c r="CP60" s="815"/>
    </row>
    <row r="61" spans="1:94" ht="11.25">
      <c r="A61" s="815"/>
      <c r="B61" s="815"/>
      <c r="C61" s="815"/>
      <c r="D61" s="815"/>
      <c r="E61" s="815"/>
      <c r="F61" s="815"/>
      <c r="G61" s="815"/>
      <c r="H61" s="815"/>
      <c r="I61" s="815"/>
      <c r="J61" s="815"/>
      <c r="K61" s="815"/>
      <c r="L61" s="815"/>
      <c r="M61" s="815"/>
      <c r="N61" s="815"/>
      <c r="O61" s="815"/>
      <c r="P61" s="815"/>
      <c r="Q61" s="815"/>
      <c r="R61" s="815"/>
      <c r="S61" s="815"/>
      <c r="T61" s="815"/>
      <c r="U61" s="815"/>
      <c r="V61" s="815"/>
      <c r="W61" s="815"/>
      <c r="X61" s="815"/>
      <c r="Y61" s="815"/>
      <c r="Z61" s="815"/>
      <c r="AA61" s="815"/>
      <c r="AB61" s="815"/>
      <c r="AC61" s="815"/>
      <c r="AD61" s="815"/>
      <c r="AE61" s="815"/>
      <c r="AF61" s="815"/>
      <c r="AG61" s="815"/>
      <c r="AH61" s="815"/>
      <c r="AI61" s="815"/>
      <c r="AJ61" s="815"/>
      <c r="AK61" s="815"/>
      <c r="AL61" s="815"/>
      <c r="AM61" s="815"/>
      <c r="AN61" s="815"/>
      <c r="AO61" s="815"/>
      <c r="AP61" s="815"/>
      <c r="AQ61" s="815"/>
      <c r="AR61" s="815"/>
      <c r="AS61" s="815"/>
      <c r="AT61" s="815"/>
      <c r="AU61" s="815"/>
      <c r="AV61" s="815"/>
      <c r="AW61" s="815"/>
      <c r="AX61" s="815"/>
      <c r="AY61" s="815"/>
      <c r="AZ61" s="815"/>
      <c r="BA61" s="815"/>
      <c r="BB61" s="815"/>
      <c r="BC61" s="815"/>
      <c r="BD61" s="815"/>
      <c r="BE61" s="815"/>
      <c r="BF61" s="815"/>
      <c r="BG61" s="815"/>
      <c r="BH61" s="815"/>
      <c r="BI61" s="815"/>
      <c r="BJ61" s="815"/>
      <c r="BK61" s="815"/>
      <c r="BL61" s="815"/>
      <c r="BM61" s="815"/>
      <c r="BN61" s="815"/>
      <c r="BO61" s="815"/>
      <c r="BP61" s="815"/>
      <c r="BQ61" s="815"/>
      <c r="BR61" s="815"/>
      <c r="BS61" s="815"/>
      <c r="BT61" s="815"/>
      <c r="BU61" s="815"/>
      <c r="BV61" s="815"/>
      <c r="BW61" s="815"/>
      <c r="BX61" s="815"/>
      <c r="BY61" s="815"/>
      <c r="BZ61" s="815"/>
      <c r="CA61" s="815"/>
      <c r="CB61" s="815"/>
      <c r="CC61" s="815"/>
      <c r="CD61" s="815"/>
      <c r="CE61" s="815"/>
      <c r="CF61" s="815"/>
      <c r="CG61" s="815"/>
      <c r="CH61" s="815"/>
      <c r="CI61" s="815"/>
      <c r="CJ61" s="815"/>
      <c r="CK61" s="815"/>
      <c r="CL61" s="815"/>
      <c r="CM61" s="815"/>
      <c r="CN61" s="815"/>
      <c r="CO61" s="815"/>
      <c r="CP61" s="815"/>
    </row>
    <row r="62" spans="1:94" ht="11.25">
      <c r="A62" s="815"/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  <c r="AC62" s="815"/>
      <c r="AD62" s="815"/>
      <c r="AE62" s="815"/>
      <c r="AF62" s="815"/>
      <c r="AG62" s="815"/>
      <c r="AH62" s="815"/>
      <c r="AI62" s="815"/>
      <c r="AJ62" s="815"/>
      <c r="AK62" s="815"/>
      <c r="AL62" s="815"/>
      <c r="AM62" s="815"/>
      <c r="AN62" s="815"/>
      <c r="AO62" s="815"/>
      <c r="AP62" s="815"/>
      <c r="AQ62" s="815"/>
      <c r="AR62" s="815"/>
      <c r="AS62" s="815"/>
      <c r="AT62" s="815"/>
      <c r="AU62" s="815"/>
      <c r="AV62" s="815"/>
      <c r="AW62" s="815"/>
      <c r="AX62" s="815"/>
      <c r="AY62" s="815"/>
      <c r="AZ62" s="815"/>
      <c r="BA62" s="815"/>
      <c r="BB62" s="815"/>
      <c r="BC62" s="815"/>
      <c r="BD62" s="815"/>
      <c r="BE62" s="815"/>
      <c r="BF62" s="815"/>
      <c r="BG62" s="815"/>
      <c r="BH62" s="815"/>
      <c r="BI62" s="815"/>
      <c r="BJ62" s="815"/>
      <c r="BK62" s="815"/>
      <c r="BL62" s="815"/>
      <c r="BM62" s="815"/>
      <c r="BN62" s="815"/>
      <c r="BO62" s="815"/>
      <c r="BP62" s="815"/>
      <c r="BQ62" s="815"/>
      <c r="BR62" s="815"/>
      <c r="BS62" s="815"/>
      <c r="BT62" s="815"/>
      <c r="BU62" s="815"/>
      <c r="BV62" s="815"/>
      <c r="BW62" s="815"/>
      <c r="BX62" s="815"/>
      <c r="BY62" s="815"/>
      <c r="BZ62" s="815"/>
      <c r="CA62" s="815"/>
      <c r="CB62" s="815"/>
      <c r="CC62" s="815"/>
      <c r="CD62" s="815"/>
      <c r="CE62" s="815"/>
      <c r="CF62" s="815"/>
      <c r="CG62" s="815"/>
      <c r="CH62" s="815"/>
      <c r="CI62" s="815"/>
      <c r="CJ62" s="815"/>
      <c r="CK62" s="815"/>
      <c r="CL62" s="815"/>
      <c r="CM62" s="815"/>
      <c r="CN62" s="815"/>
      <c r="CO62" s="815"/>
      <c r="CP62" s="815"/>
    </row>
    <row r="63" spans="1:94" ht="11.25">
      <c r="A63" s="815"/>
      <c r="B63" s="815"/>
      <c r="C63" s="815"/>
      <c r="D63" s="815"/>
      <c r="E63" s="815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5"/>
      <c r="Q63" s="815"/>
      <c r="R63" s="815"/>
      <c r="S63" s="815"/>
      <c r="T63" s="815"/>
      <c r="U63" s="815"/>
      <c r="V63" s="815"/>
      <c r="W63" s="815"/>
      <c r="X63" s="815"/>
      <c r="Y63" s="815"/>
      <c r="Z63" s="815"/>
      <c r="AA63" s="815"/>
      <c r="AB63" s="815"/>
      <c r="AC63" s="815"/>
      <c r="AD63" s="815"/>
      <c r="AE63" s="815"/>
      <c r="AF63" s="815"/>
      <c r="AG63" s="815"/>
      <c r="AH63" s="815"/>
      <c r="AI63" s="815"/>
      <c r="AJ63" s="815"/>
      <c r="AK63" s="815"/>
      <c r="AL63" s="815"/>
      <c r="AM63" s="815"/>
      <c r="AN63" s="815"/>
      <c r="AO63" s="815"/>
      <c r="AP63" s="815"/>
      <c r="AQ63" s="815"/>
      <c r="AR63" s="815"/>
      <c r="AS63" s="815"/>
      <c r="AT63" s="815"/>
      <c r="AU63" s="815"/>
      <c r="AV63" s="815"/>
      <c r="AW63" s="815"/>
      <c r="AX63" s="815"/>
      <c r="AY63" s="815"/>
      <c r="AZ63" s="815"/>
      <c r="BA63" s="815"/>
      <c r="BB63" s="815"/>
      <c r="BC63" s="815"/>
      <c r="BD63" s="815"/>
      <c r="BE63" s="815"/>
      <c r="BF63" s="815"/>
      <c r="BG63" s="815"/>
      <c r="BH63" s="815"/>
      <c r="BI63" s="815"/>
      <c r="BJ63" s="815"/>
      <c r="BK63" s="815"/>
      <c r="BL63" s="815"/>
      <c r="BM63" s="815"/>
      <c r="BN63" s="815"/>
      <c r="BO63" s="815"/>
      <c r="BP63" s="815"/>
      <c r="BQ63" s="815"/>
      <c r="BR63" s="815"/>
      <c r="BS63" s="815"/>
      <c r="BT63" s="815"/>
      <c r="BU63" s="815"/>
      <c r="BV63" s="815"/>
      <c r="BW63" s="815"/>
      <c r="BX63" s="815"/>
      <c r="BY63" s="815"/>
      <c r="BZ63" s="815"/>
      <c r="CA63" s="815"/>
      <c r="CB63" s="815"/>
      <c r="CC63" s="815"/>
      <c r="CD63" s="815"/>
      <c r="CE63" s="815"/>
      <c r="CF63" s="815"/>
      <c r="CG63" s="815"/>
      <c r="CH63" s="815"/>
      <c r="CI63" s="815"/>
      <c r="CJ63" s="815"/>
      <c r="CK63" s="815"/>
      <c r="CL63" s="815"/>
      <c r="CM63" s="815"/>
      <c r="CN63" s="815"/>
      <c r="CO63" s="815"/>
      <c r="CP63" s="815"/>
    </row>
    <row r="64" spans="1:94" ht="11.25">
      <c r="A64" s="815"/>
      <c r="B64" s="815"/>
      <c r="C64" s="815"/>
      <c r="D64" s="815"/>
      <c r="E64" s="815"/>
      <c r="F64" s="815"/>
      <c r="G64" s="815"/>
      <c r="H64" s="815"/>
      <c r="I64" s="815"/>
      <c r="J64" s="815"/>
      <c r="K64" s="815"/>
      <c r="L64" s="815"/>
      <c r="M64" s="815"/>
      <c r="N64" s="815"/>
      <c r="O64" s="815"/>
      <c r="P64" s="815"/>
      <c r="Q64" s="815"/>
      <c r="R64" s="815"/>
      <c r="S64" s="815"/>
      <c r="T64" s="815"/>
      <c r="U64" s="815"/>
      <c r="V64" s="815"/>
      <c r="W64" s="815"/>
      <c r="X64" s="815"/>
      <c r="Y64" s="815"/>
      <c r="Z64" s="815"/>
      <c r="AA64" s="815"/>
      <c r="AB64" s="815"/>
      <c r="AC64" s="815"/>
      <c r="AD64" s="815"/>
      <c r="AE64" s="815"/>
      <c r="AF64" s="815"/>
      <c r="AG64" s="815"/>
      <c r="AH64" s="815"/>
      <c r="AI64" s="815"/>
      <c r="AJ64" s="815"/>
      <c r="AK64" s="815"/>
      <c r="AL64" s="815"/>
      <c r="AM64" s="815"/>
      <c r="AN64" s="815"/>
      <c r="AO64" s="815"/>
      <c r="AP64" s="815"/>
      <c r="AQ64" s="815"/>
      <c r="AR64" s="815"/>
      <c r="AS64" s="815"/>
      <c r="AT64" s="815"/>
      <c r="AU64" s="815"/>
      <c r="AV64" s="815"/>
      <c r="AW64" s="815"/>
      <c r="AX64" s="815"/>
      <c r="AY64" s="815"/>
      <c r="AZ64" s="815"/>
      <c r="BA64" s="815"/>
      <c r="BB64" s="815"/>
      <c r="BC64" s="815"/>
      <c r="BD64" s="815"/>
      <c r="BE64" s="815"/>
      <c r="BF64" s="815"/>
      <c r="BG64" s="815"/>
      <c r="BH64" s="815"/>
      <c r="BI64" s="815"/>
      <c r="BJ64" s="815"/>
      <c r="BK64" s="815"/>
      <c r="BL64" s="815"/>
      <c r="BM64" s="815"/>
      <c r="BN64" s="815"/>
      <c r="BO64" s="815"/>
      <c r="BP64" s="815"/>
      <c r="BQ64" s="815"/>
      <c r="BR64" s="815"/>
      <c r="BS64" s="815"/>
      <c r="BT64" s="815"/>
      <c r="BU64" s="815"/>
      <c r="BV64" s="815"/>
      <c r="BW64" s="815"/>
      <c r="BX64" s="815"/>
      <c r="BY64" s="815"/>
      <c r="BZ64" s="815"/>
      <c r="CA64" s="815"/>
      <c r="CB64" s="815"/>
      <c r="CC64" s="815"/>
      <c r="CD64" s="815"/>
      <c r="CE64" s="815"/>
      <c r="CF64" s="815"/>
      <c r="CG64" s="815"/>
      <c r="CH64" s="815"/>
      <c r="CI64" s="815"/>
      <c r="CJ64" s="815"/>
      <c r="CK64" s="815"/>
      <c r="CL64" s="815"/>
      <c r="CM64" s="815"/>
      <c r="CN64" s="815"/>
      <c r="CO64" s="815"/>
      <c r="CP64" s="815"/>
    </row>
    <row r="65" spans="1:94" ht="11.25">
      <c r="A65" s="815"/>
      <c r="B65" s="815"/>
      <c r="C65" s="815"/>
      <c r="D65" s="815"/>
      <c r="E65" s="815"/>
      <c r="F65" s="815"/>
      <c r="G65" s="815"/>
      <c r="H65" s="815"/>
      <c r="I65" s="815"/>
      <c r="J65" s="815"/>
      <c r="K65" s="815"/>
      <c r="L65" s="815"/>
      <c r="M65" s="815"/>
      <c r="N65" s="815"/>
      <c r="O65" s="815"/>
      <c r="P65" s="815"/>
      <c r="Q65" s="815"/>
      <c r="R65" s="815"/>
      <c r="S65" s="815"/>
      <c r="T65" s="815"/>
      <c r="U65" s="815"/>
      <c r="V65" s="815"/>
      <c r="W65" s="815"/>
      <c r="X65" s="815"/>
      <c r="Y65" s="815"/>
      <c r="Z65" s="815"/>
      <c r="AA65" s="815"/>
      <c r="AB65" s="815"/>
      <c r="AC65" s="815"/>
      <c r="AD65" s="815"/>
      <c r="AE65" s="815"/>
      <c r="AF65" s="815"/>
      <c r="AG65" s="815"/>
      <c r="AH65" s="815"/>
      <c r="AI65" s="815"/>
      <c r="AJ65" s="815"/>
      <c r="AK65" s="815"/>
      <c r="AL65" s="815"/>
      <c r="AM65" s="815"/>
      <c r="AN65" s="815"/>
      <c r="AO65" s="815"/>
      <c r="AP65" s="815"/>
      <c r="AQ65" s="815"/>
      <c r="AR65" s="815"/>
      <c r="AS65" s="815"/>
      <c r="AT65" s="815"/>
      <c r="AU65" s="815"/>
      <c r="AV65" s="815"/>
      <c r="AW65" s="815"/>
      <c r="AX65" s="815"/>
      <c r="AY65" s="815"/>
      <c r="AZ65" s="815"/>
      <c r="BA65" s="815"/>
      <c r="BB65" s="815"/>
      <c r="BC65" s="815"/>
      <c r="BD65" s="815"/>
      <c r="BE65" s="815"/>
      <c r="BF65" s="815"/>
      <c r="BG65" s="815"/>
      <c r="BH65" s="815"/>
      <c r="BI65" s="815"/>
      <c r="BJ65" s="815"/>
      <c r="BK65" s="815"/>
      <c r="BL65" s="815"/>
      <c r="BM65" s="815"/>
      <c r="BN65" s="815"/>
      <c r="BO65" s="815"/>
      <c r="BP65" s="815"/>
      <c r="BQ65" s="815"/>
      <c r="BR65" s="815"/>
      <c r="BS65" s="815"/>
      <c r="BT65" s="815"/>
      <c r="BU65" s="815"/>
      <c r="BV65" s="815"/>
      <c r="BW65" s="815"/>
      <c r="BX65" s="815"/>
      <c r="BY65" s="815"/>
      <c r="BZ65" s="815"/>
      <c r="CA65" s="815"/>
      <c r="CB65" s="815"/>
      <c r="CC65" s="815"/>
      <c r="CD65" s="815"/>
      <c r="CE65" s="815"/>
      <c r="CF65" s="815"/>
      <c r="CG65" s="815"/>
      <c r="CH65" s="815"/>
      <c r="CI65" s="815"/>
      <c r="CJ65" s="815"/>
      <c r="CK65" s="815"/>
      <c r="CL65" s="815"/>
      <c r="CM65" s="815"/>
      <c r="CN65" s="815"/>
      <c r="CO65" s="815"/>
      <c r="CP65" s="815"/>
    </row>
    <row r="66" spans="1:94" ht="11.25">
      <c r="A66" s="815"/>
      <c r="B66" s="815"/>
      <c r="C66" s="815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5"/>
      <c r="P66" s="815"/>
      <c r="Q66" s="815"/>
      <c r="R66" s="815"/>
      <c r="S66" s="815"/>
      <c r="T66" s="815"/>
      <c r="U66" s="815"/>
      <c r="V66" s="815"/>
      <c r="W66" s="815"/>
      <c r="X66" s="815"/>
      <c r="Y66" s="815"/>
      <c r="Z66" s="815"/>
      <c r="AA66" s="815"/>
      <c r="AB66" s="815"/>
      <c r="AC66" s="815"/>
      <c r="AD66" s="815"/>
      <c r="AE66" s="815"/>
      <c r="AF66" s="815"/>
      <c r="AG66" s="815"/>
      <c r="AH66" s="815"/>
      <c r="AI66" s="815"/>
      <c r="AJ66" s="815"/>
      <c r="AK66" s="815"/>
      <c r="AL66" s="815"/>
      <c r="AM66" s="815"/>
      <c r="AN66" s="815"/>
      <c r="AO66" s="815"/>
      <c r="AP66" s="815"/>
      <c r="AQ66" s="815"/>
      <c r="AR66" s="815"/>
      <c r="AS66" s="815"/>
      <c r="AT66" s="815"/>
      <c r="AU66" s="815"/>
      <c r="AV66" s="815"/>
      <c r="AW66" s="815"/>
      <c r="AX66" s="815"/>
      <c r="AY66" s="815"/>
      <c r="AZ66" s="815"/>
      <c r="BA66" s="815"/>
      <c r="BB66" s="815"/>
      <c r="BC66" s="815"/>
      <c r="BD66" s="815"/>
      <c r="BE66" s="815"/>
      <c r="BF66" s="815"/>
      <c r="BG66" s="815"/>
      <c r="BH66" s="815"/>
      <c r="BI66" s="815"/>
      <c r="BJ66" s="815"/>
      <c r="BK66" s="815"/>
      <c r="BL66" s="815"/>
      <c r="BM66" s="815"/>
      <c r="BN66" s="815"/>
      <c r="BO66" s="815"/>
      <c r="BP66" s="815"/>
      <c r="BQ66" s="815"/>
      <c r="BR66" s="815"/>
      <c r="BS66" s="815"/>
      <c r="BT66" s="815"/>
      <c r="BU66" s="815"/>
      <c r="BV66" s="815"/>
      <c r="BW66" s="815"/>
      <c r="BX66" s="815"/>
      <c r="BY66" s="815"/>
      <c r="BZ66" s="815"/>
      <c r="CA66" s="815"/>
      <c r="CB66" s="815"/>
      <c r="CC66" s="815"/>
      <c r="CD66" s="815"/>
      <c r="CE66" s="815"/>
      <c r="CF66" s="815"/>
      <c r="CG66" s="815"/>
      <c r="CH66" s="815"/>
      <c r="CI66" s="815"/>
      <c r="CJ66" s="815"/>
      <c r="CK66" s="815"/>
      <c r="CL66" s="815"/>
      <c r="CM66" s="815"/>
      <c r="CN66" s="815"/>
      <c r="CO66" s="815"/>
      <c r="CP66" s="815"/>
    </row>
    <row r="67" spans="1:94" ht="11.25">
      <c r="A67" s="815"/>
      <c r="B67" s="815"/>
      <c r="C67" s="815"/>
      <c r="D67" s="815"/>
      <c r="E67" s="815"/>
      <c r="F67" s="815"/>
      <c r="G67" s="815"/>
      <c r="H67" s="815"/>
      <c r="I67" s="815"/>
      <c r="J67" s="815"/>
      <c r="K67" s="815"/>
      <c r="L67" s="815"/>
      <c r="M67" s="815"/>
      <c r="N67" s="815"/>
      <c r="O67" s="815"/>
      <c r="P67" s="815"/>
      <c r="Q67" s="815"/>
      <c r="R67" s="815"/>
      <c r="S67" s="815"/>
      <c r="T67" s="815"/>
      <c r="U67" s="815"/>
      <c r="V67" s="815"/>
      <c r="W67" s="815"/>
      <c r="X67" s="815"/>
      <c r="Y67" s="815"/>
      <c r="Z67" s="815"/>
      <c r="AA67" s="815"/>
      <c r="AB67" s="815"/>
      <c r="AC67" s="815"/>
      <c r="AD67" s="815"/>
      <c r="AE67" s="815"/>
      <c r="AF67" s="815"/>
      <c r="AG67" s="815"/>
      <c r="AH67" s="815"/>
      <c r="AI67" s="815"/>
      <c r="AJ67" s="815"/>
      <c r="AK67" s="815"/>
      <c r="AL67" s="815"/>
      <c r="AM67" s="815"/>
      <c r="AN67" s="815"/>
      <c r="AO67" s="815"/>
      <c r="AP67" s="815"/>
      <c r="AQ67" s="815"/>
      <c r="AR67" s="815"/>
      <c r="AS67" s="815"/>
      <c r="AT67" s="815"/>
      <c r="AU67" s="815"/>
      <c r="AV67" s="815"/>
      <c r="AW67" s="815"/>
      <c r="AX67" s="815"/>
      <c r="AY67" s="815"/>
      <c r="AZ67" s="815"/>
      <c r="BA67" s="815"/>
      <c r="BB67" s="815"/>
      <c r="BC67" s="815"/>
      <c r="BD67" s="815"/>
      <c r="BE67" s="815"/>
      <c r="BF67" s="815"/>
      <c r="BG67" s="815"/>
      <c r="BH67" s="815"/>
      <c r="BI67" s="815"/>
      <c r="BJ67" s="815"/>
      <c r="BK67" s="815"/>
      <c r="BL67" s="815"/>
      <c r="BM67" s="815"/>
      <c r="BN67" s="815"/>
      <c r="BO67" s="815"/>
      <c r="BP67" s="815"/>
      <c r="BQ67" s="815"/>
      <c r="BR67" s="815"/>
      <c r="BS67" s="815"/>
      <c r="BT67" s="815"/>
      <c r="BU67" s="815"/>
      <c r="BV67" s="815"/>
      <c r="BW67" s="815"/>
      <c r="BX67" s="815"/>
      <c r="BY67" s="815"/>
      <c r="BZ67" s="815"/>
      <c r="CA67" s="815"/>
      <c r="CB67" s="815"/>
      <c r="CC67" s="815"/>
      <c r="CD67" s="815"/>
      <c r="CE67" s="815"/>
      <c r="CF67" s="815"/>
      <c r="CG67" s="815"/>
      <c r="CH67" s="815"/>
      <c r="CI67" s="815"/>
      <c r="CJ67" s="815"/>
      <c r="CK67" s="815"/>
      <c r="CL67" s="815"/>
      <c r="CM67" s="815"/>
      <c r="CN67" s="815"/>
      <c r="CO67" s="815"/>
      <c r="CP67" s="815"/>
    </row>
    <row r="68" spans="1:94" ht="11.25">
      <c r="A68" s="815"/>
      <c r="B68" s="815"/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5"/>
      <c r="Q68" s="815"/>
      <c r="R68" s="815"/>
      <c r="S68" s="815"/>
      <c r="T68" s="815"/>
      <c r="U68" s="815"/>
      <c r="V68" s="815"/>
      <c r="W68" s="815"/>
      <c r="X68" s="815"/>
      <c r="Y68" s="815"/>
      <c r="Z68" s="815"/>
      <c r="AA68" s="815"/>
      <c r="AB68" s="815"/>
      <c r="AC68" s="815"/>
      <c r="AD68" s="815"/>
      <c r="AE68" s="815"/>
      <c r="AF68" s="815"/>
      <c r="AG68" s="815"/>
      <c r="AH68" s="815"/>
      <c r="AI68" s="815"/>
      <c r="AJ68" s="815"/>
      <c r="AK68" s="815"/>
      <c r="AL68" s="815"/>
      <c r="AM68" s="815"/>
      <c r="AN68" s="815"/>
      <c r="AO68" s="815"/>
      <c r="AP68" s="815"/>
      <c r="AQ68" s="815"/>
      <c r="AR68" s="815"/>
      <c r="AS68" s="815"/>
      <c r="AT68" s="815"/>
      <c r="AU68" s="815"/>
      <c r="AV68" s="815"/>
      <c r="AW68" s="815"/>
      <c r="AX68" s="815"/>
      <c r="AY68" s="815"/>
      <c r="AZ68" s="815"/>
      <c r="BA68" s="815"/>
      <c r="BB68" s="815"/>
      <c r="BC68" s="815"/>
      <c r="BD68" s="815"/>
      <c r="BE68" s="815"/>
      <c r="BF68" s="815"/>
      <c r="BG68" s="815"/>
      <c r="BH68" s="815"/>
      <c r="BI68" s="815"/>
      <c r="BJ68" s="815"/>
      <c r="BK68" s="815"/>
      <c r="BL68" s="815"/>
      <c r="BM68" s="815"/>
      <c r="BN68" s="815"/>
      <c r="BO68" s="815"/>
      <c r="BP68" s="815"/>
      <c r="BQ68" s="815"/>
      <c r="BR68" s="815"/>
      <c r="BS68" s="815"/>
      <c r="BT68" s="815"/>
      <c r="BU68" s="815"/>
      <c r="BV68" s="815"/>
      <c r="BW68" s="815"/>
      <c r="BX68" s="815"/>
      <c r="BY68" s="815"/>
      <c r="BZ68" s="815"/>
      <c r="CA68" s="815"/>
      <c r="CB68" s="815"/>
      <c r="CC68" s="815"/>
      <c r="CD68" s="815"/>
      <c r="CE68" s="815"/>
      <c r="CF68" s="815"/>
      <c r="CG68" s="815"/>
      <c r="CH68" s="815"/>
      <c r="CI68" s="815"/>
      <c r="CJ68" s="815"/>
      <c r="CK68" s="815"/>
      <c r="CL68" s="815"/>
      <c r="CM68" s="815"/>
      <c r="CN68" s="815"/>
      <c r="CO68" s="815"/>
      <c r="CP68" s="815"/>
    </row>
    <row r="69" spans="1:94" ht="11.25">
      <c r="A69" s="815"/>
      <c r="B69" s="815"/>
      <c r="C69" s="815"/>
      <c r="D69" s="815"/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815"/>
      <c r="T69" s="815"/>
      <c r="U69" s="815"/>
      <c r="V69" s="815"/>
      <c r="W69" s="815"/>
      <c r="X69" s="815"/>
      <c r="Y69" s="815"/>
      <c r="Z69" s="815"/>
      <c r="AA69" s="815"/>
      <c r="AB69" s="815"/>
      <c r="AC69" s="815"/>
      <c r="AD69" s="815"/>
      <c r="AE69" s="815"/>
      <c r="AF69" s="815"/>
      <c r="AG69" s="815"/>
      <c r="AH69" s="815"/>
      <c r="AI69" s="815"/>
      <c r="AJ69" s="815"/>
      <c r="AK69" s="815"/>
      <c r="AL69" s="815"/>
      <c r="AM69" s="815"/>
      <c r="AN69" s="815"/>
      <c r="AO69" s="815"/>
      <c r="AP69" s="815"/>
      <c r="AQ69" s="815"/>
      <c r="AR69" s="815"/>
      <c r="AS69" s="815"/>
      <c r="AT69" s="815"/>
      <c r="AU69" s="815"/>
      <c r="AV69" s="815"/>
      <c r="AW69" s="815"/>
      <c r="AX69" s="815"/>
      <c r="AY69" s="815"/>
      <c r="AZ69" s="815"/>
      <c r="BA69" s="815"/>
      <c r="BB69" s="815"/>
      <c r="BC69" s="815"/>
      <c r="BD69" s="815"/>
      <c r="BE69" s="815"/>
      <c r="BF69" s="815"/>
      <c r="BG69" s="815"/>
      <c r="BH69" s="815"/>
      <c r="BI69" s="815"/>
      <c r="BJ69" s="815"/>
      <c r="BK69" s="815"/>
      <c r="BL69" s="815"/>
      <c r="BM69" s="815"/>
      <c r="BN69" s="815"/>
      <c r="BO69" s="815"/>
      <c r="BP69" s="815"/>
      <c r="BQ69" s="815"/>
      <c r="BR69" s="815"/>
      <c r="BS69" s="815"/>
      <c r="BT69" s="815"/>
      <c r="BU69" s="815"/>
      <c r="BV69" s="815"/>
      <c r="BW69" s="815"/>
      <c r="BX69" s="815"/>
      <c r="BY69" s="815"/>
      <c r="BZ69" s="815"/>
      <c r="CA69" s="815"/>
      <c r="CB69" s="815"/>
      <c r="CC69" s="815"/>
      <c r="CD69" s="815"/>
      <c r="CE69" s="815"/>
      <c r="CF69" s="815"/>
      <c r="CG69" s="815"/>
      <c r="CH69" s="815"/>
      <c r="CI69" s="815"/>
      <c r="CJ69" s="815"/>
      <c r="CK69" s="815"/>
      <c r="CL69" s="815"/>
      <c r="CM69" s="815"/>
      <c r="CN69" s="815"/>
      <c r="CO69" s="815"/>
      <c r="CP69" s="815"/>
    </row>
    <row r="70" spans="1:94" ht="11.25">
      <c r="A70" s="815"/>
      <c r="B70" s="815"/>
      <c r="C70" s="815"/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15"/>
      <c r="O70" s="815"/>
      <c r="P70" s="815"/>
      <c r="Q70" s="815"/>
      <c r="R70" s="815"/>
      <c r="S70" s="815"/>
      <c r="T70" s="815"/>
      <c r="U70" s="815"/>
      <c r="V70" s="815"/>
      <c r="W70" s="815"/>
      <c r="X70" s="815"/>
      <c r="Y70" s="815"/>
      <c r="Z70" s="815"/>
      <c r="AA70" s="815"/>
      <c r="AB70" s="815"/>
      <c r="AC70" s="815"/>
      <c r="AD70" s="815"/>
      <c r="AE70" s="815"/>
      <c r="AF70" s="815"/>
      <c r="AG70" s="815"/>
      <c r="AH70" s="815"/>
      <c r="AI70" s="815"/>
      <c r="AJ70" s="815"/>
      <c r="AK70" s="815"/>
      <c r="AL70" s="815"/>
      <c r="AM70" s="815"/>
      <c r="AN70" s="815"/>
      <c r="AO70" s="815"/>
      <c r="AP70" s="815"/>
      <c r="AQ70" s="815"/>
      <c r="AR70" s="815"/>
      <c r="AS70" s="815"/>
      <c r="AT70" s="815"/>
      <c r="AU70" s="815"/>
      <c r="AV70" s="815"/>
      <c r="AW70" s="815"/>
      <c r="AX70" s="815"/>
      <c r="AY70" s="815"/>
      <c r="AZ70" s="815"/>
      <c r="BA70" s="815"/>
      <c r="BB70" s="815"/>
      <c r="BC70" s="815"/>
      <c r="BD70" s="815"/>
      <c r="BE70" s="815"/>
      <c r="BF70" s="815"/>
      <c r="BG70" s="815"/>
      <c r="BH70" s="815"/>
      <c r="BI70" s="815"/>
      <c r="BJ70" s="815"/>
      <c r="BK70" s="815"/>
      <c r="BL70" s="815"/>
      <c r="BM70" s="815"/>
      <c r="BN70" s="815"/>
      <c r="BO70" s="815"/>
      <c r="BP70" s="815"/>
      <c r="BQ70" s="815"/>
      <c r="BR70" s="815"/>
      <c r="BS70" s="815"/>
      <c r="BT70" s="815"/>
      <c r="BU70" s="815"/>
      <c r="BV70" s="815"/>
      <c r="BW70" s="815"/>
      <c r="BX70" s="815"/>
      <c r="BY70" s="815"/>
      <c r="BZ70" s="815"/>
      <c r="CA70" s="815"/>
      <c r="CB70" s="815"/>
      <c r="CC70" s="815"/>
      <c r="CD70" s="815"/>
      <c r="CE70" s="815"/>
      <c r="CF70" s="815"/>
      <c r="CG70" s="815"/>
      <c r="CH70" s="815"/>
      <c r="CI70" s="815"/>
      <c r="CJ70" s="815"/>
      <c r="CK70" s="815"/>
      <c r="CL70" s="815"/>
      <c r="CM70" s="815"/>
      <c r="CN70" s="815"/>
      <c r="CO70" s="815"/>
      <c r="CP70" s="815"/>
    </row>
    <row r="71" spans="1:94" ht="11.25">
      <c r="A71" s="815"/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C71" s="815"/>
      <c r="AD71" s="815"/>
      <c r="AE71" s="815"/>
      <c r="AF71" s="815"/>
      <c r="AG71" s="815"/>
      <c r="AH71" s="815"/>
      <c r="AI71" s="815"/>
      <c r="AJ71" s="815"/>
      <c r="AK71" s="815"/>
      <c r="AL71" s="815"/>
      <c r="AM71" s="815"/>
      <c r="AN71" s="815"/>
      <c r="AO71" s="815"/>
      <c r="AP71" s="815"/>
      <c r="AQ71" s="815"/>
      <c r="AR71" s="815"/>
      <c r="AS71" s="815"/>
      <c r="AT71" s="815"/>
      <c r="AU71" s="815"/>
      <c r="AV71" s="815"/>
      <c r="AW71" s="815"/>
      <c r="AX71" s="815"/>
      <c r="AY71" s="815"/>
      <c r="AZ71" s="815"/>
      <c r="BA71" s="815"/>
      <c r="BB71" s="815"/>
      <c r="BC71" s="815"/>
      <c r="BD71" s="815"/>
      <c r="BE71" s="815"/>
      <c r="BF71" s="815"/>
      <c r="BG71" s="815"/>
      <c r="BH71" s="815"/>
      <c r="BI71" s="815"/>
      <c r="BJ71" s="815"/>
      <c r="BK71" s="815"/>
      <c r="BL71" s="815"/>
      <c r="BM71" s="815"/>
      <c r="BN71" s="815"/>
      <c r="BO71" s="815"/>
      <c r="BP71" s="815"/>
      <c r="BQ71" s="815"/>
      <c r="BR71" s="815"/>
      <c r="BS71" s="815"/>
      <c r="BT71" s="815"/>
      <c r="BU71" s="815"/>
      <c r="BV71" s="815"/>
      <c r="BW71" s="815"/>
      <c r="BX71" s="815"/>
      <c r="BY71" s="815"/>
      <c r="BZ71" s="815"/>
      <c r="CA71" s="815"/>
      <c r="CB71" s="815"/>
      <c r="CC71" s="815"/>
      <c r="CD71" s="815"/>
      <c r="CE71" s="815"/>
      <c r="CF71" s="815"/>
      <c r="CG71" s="815"/>
      <c r="CH71" s="815"/>
      <c r="CI71" s="815"/>
      <c r="CJ71" s="815"/>
      <c r="CK71" s="815"/>
      <c r="CL71" s="815"/>
      <c r="CM71" s="815"/>
      <c r="CN71" s="815"/>
      <c r="CO71" s="815"/>
      <c r="CP71" s="815"/>
    </row>
    <row r="72" spans="1:94" ht="11.25">
      <c r="A72" s="815"/>
      <c r="B72" s="815"/>
      <c r="C72" s="815"/>
      <c r="D72" s="815"/>
      <c r="E72" s="81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  <c r="Y72" s="815"/>
      <c r="Z72" s="815"/>
      <c r="AA72" s="815"/>
      <c r="AB72" s="815"/>
      <c r="AC72" s="815"/>
      <c r="AD72" s="815"/>
      <c r="AE72" s="815"/>
      <c r="AF72" s="815"/>
      <c r="AG72" s="815"/>
      <c r="AH72" s="815"/>
      <c r="AI72" s="815"/>
      <c r="AJ72" s="815"/>
      <c r="AK72" s="815"/>
      <c r="AL72" s="815"/>
      <c r="AM72" s="815"/>
      <c r="AN72" s="815"/>
      <c r="AO72" s="815"/>
      <c r="AP72" s="815"/>
      <c r="AQ72" s="815"/>
      <c r="AR72" s="815"/>
      <c r="AS72" s="815"/>
      <c r="AT72" s="815"/>
      <c r="AU72" s="815"/>
      <c r="AV72" s="815"/>
      <c r="AW72" s="815"/>
      <c r="AX72" s="815"/>
      <c r="AY72" s="815"/>
      <c r="AZ72" s="815"/>
      <c r="BA72" s="815"/>
      <c r="BB72" s="815"/>
      <c r="BC72" s="815"/>
      <c r="BD72" s="815"/>
      <c r="BE72" s="815"/>
      <c r="BF72" s="815"/>
      <c r="BG72" s="815"/>
      <c r="BH72" s="815"/>
      <c r="BI72" s="815"/>
      <c r="BJ72" s="815"/>
      <c r="BK72" s="815"/>
      <c r="BL72" s="815"/>
      <c r="BM72" s="815"/>
      <c r="BN72" s="815"/>
      <c r="BO72" s="815"/>
      <c r="BP72" s="815"/>
      <c r="BQ72" s="815"/>
      <c r="BR72" s="815"/>
      <c r="BS72" s="815"/>
      <c r="BT72" s="815"/>
      <c r="BU72" s="815"/>
      <c r="BV72" s="815"/>
      <c r="BW72" s="815"/>
      <c r="BX72" s="815"/>
      <c r="BY72" s="815"/>
      <c r="BZ72" s="815"/>
      <c r="CA72" s="815"/>
      <c r="CB72" s="815"/>
      <c r="CC72" s="815"/>
      <c r="CD72" s="815"/>
      <c r="CE72" s="815"/>
      <c r="CF72" s="815"/>
      <c r="CG72" s="815"/>
      <c r="CH72" s="815"/>
      <c r="CI72" s="815"/>
      <c r="CJ72" s="815"/>
      <c r="CK72" s="815"/>
      <c r="CL72" s="815"/>
      <c r="CM72" s="815"/>
      <c r="CN72" s="815"/>
      <c r="CO72" s="815"/>
      <c r="CP72" s="815"/>
    </row>
    <row r="73" spans="1:94" ht="11.25">
      <c r="A73" s="815"/>
      <c r="B73" s="815"/>
      <c r="C73" s="815"/>
      <c r="D73" s="815"/>
      <c r="E73" s="815"/>
      <c r="F73" s="815"/>
      <c r="G73" s="815"/>
      <c r="H73" s="815"/>
      <c r="I73" s="815"/>
      <c r="J73" s="815"/>
      <c r="K73" s="815"/>
      <c r="L73" s="815"/>
      <c r="M73" s="815"/>
      <c r="N73" s="815"/>
      <c r="O73" s="815"/>
      <c r="P73" s="815"/>
      <c r="Q73" s="815"/>
      <c r="R73" s="815"/>
      <c r="S73" s="815"/>
      <c r="T73" s="815"/>
      <c r="U73" s="815"/>
      <c r="V73" s="815"/>
      <c r="W73" s="815"/>
      <c r="X73" s="815"/>
      <c r="Y73" s="815"/>
      <c r="Z73" s="815"/>
      <c r="AA73" s="815"/>
      <c r="AB73" s="815"/>
      <c r="AC73" s="815"/>
      <c r="AD73" s="815"/>
      <c r="AE73" s="815"/>
      <c r="AF73" s="815"/>
      <c r="AG73" s="815"/>
      <c r="AH73" s="815"/>
      <c r="AI73" s="815"/>
      <c r="AJ73" s="815"/>
      <c r="AK73" s="815"/>
      <c r="AL73" s="815"/>
      <c r="AM73" s="815"/>
      <c r="AN73" s="815"/>
      <c r="AO73" s="815"/>
      <c r="AP73" s="815"/>
      <c r="AQ73" s="815"/>
      <c r="AR73" s="815"/>
      <c r="AS73" s="815"/>
      <c r="AT73" s="815"/>
      <c r="AU73" s="815"/>
      <c r="AV73" s="815"/>
      <c r="AW73" s="815"/>
      <c r="AX73" s="815"/>
      <c r="AY73" s="815"/>
      <c r="AZ73" s="815"/>
      <c r="BA73" s="815"/>
      <c r="BB73" s="815"/>
      <c r="BC73" s="815"/>
      <c r="BD73" s="815"/>
      <c r="BE73" s="815"/>
      <c r="BF73" s="815"/>
      <c r="BG73" s="815"/>
      <c r="BH73" s="815"/>
      <c r="BI73" s="815"/>
      <c r="BJ73" s="815"/>
      <c r="BK73" s="815"/>
      <c r="BL73" s="815"/>
      <c r="BM73" s="815"/>
      <c r="BN73" s="815"/>
      <c r="BO73" s="815"/>
      <c r="BP73" s="815"/>
      <c r="BQ73" s="815"/>
      <c r="BR73" s="815"/>
      <c r="BS73" s="815"/>
      <c r="BT73" s="815"/>
      <c r="BU73" s="815"/>
      <c r="BV73" s="815"/>
      <c r="BW73" s="815"/>
      <c r="BX73" s="815"/>
      <c r="BY73" s="815"/>
      <c r="BZ73" s="815"/>
      <c r="CA73" s="815"/>
      <c r="CB73" s="815"/>
      <c r="CC73" s="815"/>
      <c r="CD73" s="815"/>
      <c r="CE73" s="815"/>
      <c r="CF73" s="815"/>
      <c r="CG73" s="815"/>
      <c r="CH73" s="815"/>
      <c r="CI73" s="815"/>
      <c r="CJ73" s="815"/>
      <c r="CK73" s="815"/>
      <c r="CL73" s="815"/>
      <c r="CM73" s="815"/>
      <c r="CN73" s="815"/>
      <c r="CO73" s="815"/>
      <c r="CP73" s="815"/>
    </row>
    <row r="74" spans="1:94" ht="11.25">
      <c r="A74" s="815"/>
      <c r="B74" s="815"/>
      <c r="C74" s="815"/>
      <c r="D74" s="815"/>
      <c r="E74" s="815"/>
      <c r="F74" s="815"/>
      <c r="G74" s="815"/>
      <c r="H74" s="815"/>
      <c r="I74" s="815"/>
      <c r="J74" s="815"/>
      <c r="K74" s="815"/>
      <c r="L74" s="815"/>
      <c r="M74" s="815"/>
      <c r="N74" s="815"/>
      <c r="O74" s="815"/>
      <c r="P74" s="815"/>
      <c r="Q74" s="815"/>
      <c r="R74" s="815"/>
      <c r="S74" s="815"/>
      <c r="T74" s="815"/>
      <c r="U74" s="815"/>
      <c r="V74" s="815"/>
      <c r="W74" s="815"/>
      <c r="X74" s="815"/>
      <c r="Y74" s="815"/>
      <c r="Z74" s="815"/>
      <c r="AA74" s="815"/>
      <c r="AB74" s="815"/>
      <c r="AC74" s="815"/>
      <c r="AD74" s="815"/>
      <c r="AE74" s="815"/>
      <c r="AF74" s="815"/>
      <c r="AG74" s="815"/>
      <c r="AH74" s="815"/>
      <c r="AI74" s="815"/>
      <c r="AJ74" s="815"/>
      <c r="AK74" s="815"/>
      <c r="AL74" s="815"/>
      <c r="AM74" s="815"/>
      <c r="AN74" s="815"/>
      <c r="AO74" s="815"/>
      <c r="AP74" s="815"/>
      <c r="AQ74" s="815"/>
      <c r="AR74" s="815"/>
      <c r="AS74" s="815"/>
      <c r="AT74" s="815"/>
      <c r="AU74" s="815"/>
      <c r="AV74" s="815"/>
      <c r="AW74" s="815"/>
      <c r="AX74" s="815"/>
      <c r="AY74" s="815"/>
      <c r="AZ74" s="815"/>
      <c r="BA74" s="815"/>
      <c r="BB74" s="815"/>
      <c r="BC74" s="815"/>
      <c r="BD74" s="815"/>
      <c r="BE74" s="815"/>
      <c r="BF74" s="815"/>
      <c r="BG74" s="815"/>
      <c r="BH74" s="815"/>
      <c r="BI74" s="815"/>
      <c r="BJ74" s="815"/>
      <c r="BK74" s="815"/>
      <c r="BL74" s="815"/>
      <c r="BM74" s="815"/>
      <c r="BN74" s="815"/>
      <c r="BO74" s="815"/>
      <c r="BP74" s="815"/>
      <c r="BQ74" s="815"/>
      <c r="BR74" s="815"/>
      <c r="BS74" s="815"/>
      <c r="BT74" s="815"/>
      <c r="BU74" s="815"/>
      <c r="BV74" s="815"/>
      <c r="BW74" s="815"/>
      <c r="BX74" s="815"/>
      <c r="BY74" s="815"/>
      <c r="BZ74" s="815"/>
      <c r="CA74" s="815"/>
      <c r="CB74" s="815"/>
      <c r="CC74" s="815"/>
      <c r="CD74" s="815"/>
      <c r="CE74" s="815"/>
      <c r="CF74" s="815"/>
      <c r="CG74" s="815"/>
      <c r="CH74" s="815"/>
      <c r="CI74" s="815"/>
      <c r="CJ74" s="815"/>
      <c r="CK74" s="815"/>
      <c r="CL74" s="815"/>
      <c r="CM74" s="815"/>
      <c r="CN74" s="815"/>
      <c r="CO74" s="815"/>
      <c r="CP74" s="815"/>
    </row>
    <row r="75" spans="1:94" ht="11.25">
      <c r="A75" s="815"/>
      <c r="B75" s="815"/>
      <c r="C75" s="815"/>
      <c r="D75" s="815"/>
      <c r="E75" s="815"/>
      <c r="F75" s="815"/>
      <c r="G75" s="815"/>
      <c r="H75" s="815"/>
      <c r="I75" s="815"/>
      <c r="J75" s="815"/>
      <c r="K75" s="815"/>
      <c r="L75" s="815"/>
      <c r="M75" s="815"/>
      <c r="N75" s="815"/>
      <c r="O75" s="815"/>
      <c r="P75" s="815"/>
      <c r="Q75" s="815"/>
      <c r="R75" s="815"/>
      <c r="S75" s="815"/>
      <c r="T75" s="815"/>
      <c r="U75" s="815"/>
      <c r="V75" s="815"/>
      <c r="W75" s="815"/>
      <c r="X75" s="815"/>
      <c r="Y75" s="815"/>
      <c r="Z75" s="815"/>
      <c r="AA75" s="815"/>
      <c r="AB75" s="815"/>
      <c r="AC75" s="815"/>
      <c r="AD75" s="815"/>
      <c r="AE75" s="815"/>
      <c r="AF75" s="815"/>
      <c r="AG75" s="815"/>
      <c r="AH75" s="815"/>
      <c r="AI75" s="815"/>
      <c r="AJ75" s="815"/>
      <c r="AK75" s="815"/>
      <c r="AL75" s="815"/>
      <c r="AM75" s="815"/>
      <c r="AN75" s="815"/>
      <c r="AO75" s="815"/>
      <c r="AP75" s="815"/>
      <c r="AQ75" s="815"/>
      <c r="AR75" s="815"/>
      <c r="AS75" s="815"/>
      <c r="AT75" s="815"/>
      <c r="AU75" s="815"/>
      <c r="AV75" s="815"/>
      <c r="AW75" s="815"/>
      <c r="AX75" s="815"/>
      <c r="AY75" s="815"/>
      <c r="AZ75" s="815"/>
      <c r="BA75" s="815"/>
      <c r="BB75" s="815"/>
      <c r="BC75" s="815"/>
      <c r="BD75" s="815"/>
      <c r="BE75" s="815"/>
      <c r="BF75" s="815"/>
      <c r="BG75" s="815"/>
      <c r="BH75" s="815"/>
      <c r="BI75" s="815"/>
      <c r="BJ75" s="815"/>
      <c r="BK75" s="815"/>
      <c r="BL75" s="815"/>
      <c r="BM75" s="815"/>
      <c r="BN75" s="815"/>
      <c r="BO75" s="815"/>
      <c r="BP75" s="815"/>
      <c r="BQ75" s="815"/>
      <c r="BR75" s="815"/>
      <c r="BS75" s="815"/>
      <c r="BT75" s="815"/>
      <c r="BU75" s="815"/>
      <c r="BV75" s="815"/>
      <c r="BW75" s="815"/>
      <c r="BX75" s="815"/>
      <c r="BY75" s="815"/>
      <c r="BZ75" s="815"/>
      <c r="CA75" s="815"/>
      <c r="CB75" s="815"/>
      <c r="CC75" s="815"/>
      <c r="CD75" s="815"/>
      <c r="CE75" s="815"/>
      <c r="CF75" s="815"/>
      <c r="CG75" s="815"/>
      <c r="CH75" s="815"/>
      <c r="CI75" s="815"/>
      <c r="CJ75" s="815"/>
      <c r="CK75" s="815"/>
      <c r="CL75" s="815"/>
      <c r="CM75" s="815"/>
      <c r="CN75" s="815"/>
      <c r="CO75" s="815"/>
      <c r="CP75" s="815"/>
    </row>
    <row r="76" spans="1:94" ht="11.25">
      <c r="A76" s="815"/>
      <c r="B76" s="815"/>
      <c r="C76" s="815"/>
      <c r="D76" s="815"/>
      <c r="E76" s="815"/>
      <c r="F76" s="815"/>
      <c r="G76" s="815"/>
      <c r="H76" s="815"/>
      <c r="I76" s="815"/>
      <c r="J76" s="815"/>
      <c r="K76" s="815"/>
      <c r="L76" s="815"/>
      <c r="M76" s="815"/>
      <c r="N76" s="815"/>
      <c r="O76" s="815"/>
      <c r="P76" s="815"/>
      <c r="Q76" s="815"/>
      <c r="R76" s="815"/>
      <c r="S76" s="815"/>
      <c r="T76" s="815"/>
      <c r="U76" s="815"/>
      <c r="V76" s="815"/>
      <c r="W76" s="815"/>
      <c r="X76" s="815"/>
      <c r="Y76" s="815"/>
      <c r="Z76" s="815"/>
      <c r="AA76" s="815"/>
      <c r="AB76" s="815"/>
      <c r="AC76" s="815"/>
      <c r="AD76" s="815"/>
      <c r="AE76" s="815"/>
      <c r="AF76" s="815"/>
      <c r="AG76" s="815"/>
      <c r="AH76" s="815"/>
      <c r="AI76" s="815"/>
      <c r="AJ76" s="815"/>
      <c r="AK76" s="815"/>
      <c r="AL76" s="815"/>
      <c r="AM76" s="815"/>
      <c r="AN76" s="815"/>
      <c r="AO76" s="815"/>
      <c r="AP76" s="815"/>
      <c r="AQ76" s="815"/>
      <c r="AR76" s="815"/>
      <c r="AS76" s="815"/>
      <c r="AT76" s="815"/>
      <c r="AU76" s="815"/>
      <c r="AV76" s="815"/>
      <c r="AW76" s="815"/>
      <c r="AX76" s="815"/>
      <c r="AY76" s="815"/>
      <c r="AZ76" s="815"/>
      <c r="BA76" s="815"/>
      <c r="BB76" s="815"/>
      <c r="BC76" s="815"/>
      <c r="BD76" s="815"/>
      <c r="BE76" s="815"/>
      <c r="BF76" s="815"/>
      <c r="BG76" s="815"/>
      <c r="BH76" s="815"/>
      <c r="BI76" s="815"/>
      <c r="BJ76" s="815"/>
      <c r="BK76" s="815"/>
      <c r="BL76" s="815"/>
      <c r="BM76" s="815"/>
      <c r="BN76" s="815"/>
      <c r="BO76" s="815"/>
      <c r="BP76" s="815"/>
      <c r="BQ76" s="815"/>
      <c r="BR76" s="815"/>
      <c r="BS76" s="815"/>
      <c r="BT76" s="815"/>
      <c r="BU76" s="815"/>
      <c r="BV76" s="815"/>
      <c r="BW76" s="815"/>
      <c r="BX76" s="815"/>
      <c r="BY76" s="815"/>
      <c r="BZ76" s="815"/>
      <c r="CA76" s="815"/>
      <c r="CB76" s="815"/>
      <c r="CC76" s="815"/>
      <c r="CD76" s="815"/>
      <c r="CE76" s="815"/>
      <c r="CF76" s="815"/>
      <c r="CG76" s="815"/>
      <c r="CH76" s="815"/>
      <c r="CI76" s="815"/>
      <c r="CJ76" s="815"/>
      <c r="CK76" s="815"/>
      <c r="CL76" s="815"/>
      <c r="CM76" s="815"/>
      <c r="CN76" s="815"/>
      <c r="CO76" s="815"/>
      <c r="CP76" s="815"/>
    </row>
    <row r="77" spans="1:94" ht="11.25">
      <c r="A77" s="815"/>
      <c r="B77" s="815"/>
      <c r="C77" s="815"/>
      <c r="D77" s="815"/>
      <c r="E77" s="815"/>
      <c r="F77" s="815"/>
      <c r="G77" s="815"/>
      <c r="H77" s="815"/>
      <c r="I77" s="815"/>
      <c r="J77" s="815"/>
      <c r="K77" s="815"/>
      <c r="L77" s="815"/>
      <c r="M77" s="815"/>
      <c r="N77" s="815"/>
      <c r="O77" s="815"/>
      <c r="P77" s="815"/>
      <c r="Q77" s="815"/>
      <c r="R77" s="815"/>
      <c r="S77" s="815"/>
      <c r="T77" s="815"/>
      <c r="U77" s="815"/>
      <c r="V77" s="815"/>
      <c r="W77" s="815"/>
      <c r="X77" s="815"/>
      <c r="Y77" s="815"/>
      <c r="Z77" s="815"/>
      <c r="AA77" s="815"/>
      <c r="AB77" s="815"/>
      <c r="AC77" s="815"/>
      <c r="AD77" s="815"/>
      <c r="AE77" s="815"/>
      <c r="AF77" s="815"/>
      <c r="AG77" s="815"/>
      <c r="AH77" s="815"/>
      <c r="AI77" s="815"/>
      <c r="AJ77" s="815"/>
      <c r="AK77" s="815"/>
      <c r="AL77" s="815"/>
      <c r="AM77" s="815"/>
      <c r="AN77" s="815"/>
      <c r="AO77" s="815"/>
      <c r="AP77" s="815"/>
      <c r="AQ77" s="815"/>
      <c r="AR77" s="815"/>
      <c r="AS77" s="815"/>
      <c r="AT77" s="815"/>
      <c r="AU77" s="815"/>
      <c r="AV77" s="815"/>
      <c r="AW77" s="815"/>
      <c r="AX77" s="815"/>
      <c r="AY77" s="815"/>
      <c r="AZ77" s="815"/>
      <c r="BA77" s="815"/>
      <c r="BB77" s="815"/>
      <c r="BC77" s="815"/>
      <c r="BD77" s="815"/>
      <c r="BE77" s="815"/>
      <c r="BF77" s="815"/>
      <c r="BG77" s="815"/>
      <c r="BH77" s="815"/>
      <c r="BI77" s="815"/>
      <c r="BJ77" s="815"/>
      <c r="BK77" s="815"/>
      <c r="BL77" s="815"/>
      <c r="BM77" s="815"/>
      <c r="BN77" s="815"/>
      <c r="BO77" s="815"/>
      <c r="BP77" s="815"/>
      <c r="BQ77" s="815"/>
      <c r="BR77" s="815"/>
      <c r="BS77" s="815"/>
      <c r="BT77" s="815"/>
      <c r="BU77" s="815"/>
      <c r="BV77" s="815"/>
      <c r="BW77" s="815"/>
      <c r="BX77" s="815"/>
      <c r="BY77" s="815"/>
      <c r="BZ77" s="815"/>
      <c r="CA77" s="815"/>
      <c r="CB77" s="815"/>
      <c r="CC77" s="815"/>
      <c r="CD77" s="815"/>
      <c r="CE77" s="815"/>
      <c r="CF77" s="815"/>
      <c r="CG77" s="815"/>
      <c r="CH77" s="815"/>
      <c r="CI77" s="815"/>
      <c r="CJ77" s="815"/>
      <c r="CK77" s="815"/>
      <c r="CL77" s="815"/>
      <c r="CM77" s="815"/>
      <c r="CN77" s="815"/>
      <c r="CO77" s="815"/>
      <c r="CP77" s="815"/>
    </row>
    <row r="78" spans="1:94" ht="11.25">
      <c r="A78" s="815"/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  <c r="AJ78" s="815"/>
      <c r="AK78" s="815"/>
      <c r="AL78" s="815"/>
      <c r="AM78" s="815"/>
      <c r="AN78" s="815"/>
      <c r="AO78" s="815"/>
      <c r="AP78" s="815"/>
      <c r="AQ78" s="815"/>
      <c r="AR78" s="815"/>
      <c r="AS78" s="815"/>
      <c r="AT78" s="815"/>
      <c r="AU78" s="815"/>
      <c r="AV78" s="815"/>
      <c r="AW78" s="815"/>
      <c r="AX78" s="815"/>
      <c r="AY78" s="815"/>
      <c r="AZ78" s="815"/>
      <c r="BA78" s="815"/>
      <c r="BB78" s="815"/>
      <c r="BC78" s="815"/>
      <c r="BD78" s="815"/>
      <c r="BE78" s="815"/>
      <c r="BF78" s="815"/>
      <c r="BG78" s="815"/>
      <c r="BH78" s="815"/>
      <c r="BI78" s="815"/>
      <c r="BJ78" s="815"/>
      <c r="BK78" s="815"/>
      <c r="BL78" s="815"/>
      <c r="BM78" s="815"/>
      <c r="BN78" s="815"/>
      <c r="BO78" s="815"/>
      <c r="BP78" s="815"/>
      <c r="BQ78" s="815"/>
      <c r="BR78" s="815"/>
      <c r="BS78" s="815"/>
      <c r="BT78" s="815"/>
      <c r="BU78" s="815"/>
      <c r="BV78" s="815"/>
      <c r="BW78" s="815"/>
      <c r="BX78" s="815"/>
      <c r="BY78" s="815"/>
      <c r="BZ78" s="815"/>
      <c r="CA78" s="815"/>
      <c r="CB78" s="815"/>
      <c r="CC78" s="815"/>
      <c r="CD78" s="815"/>
      <c r="CE78" s="815"/>
      <c r="CF78" s="815"/>
      <c r="CG78" s="815"/>
      <c r="CH78" s="815"/>
      <c r="CI78" s="815"/>
      <c r="CJ78" s="815"/>
      <c r="CK78" s="815"/>
      <c r="CL78" s="815"/>
      <c r="CM78" s="815"/>
      <c r="CN78" s="815"/>
      <c r="CO78" s="815"/>
      <c r="CP78" s="815"/>
    </row>
    <row r="79" spans="1:94" ht="11.25">
      <c r="A79" s="815"/>
      <c r="B79" s="815"/>
      <c r="C79" s="815"/>
      <c r="D79" s="815"/>
      <c r="E79" s="815"/>
      <c r="F79" s="815"/>
      <c r="G79" s="815"/>
      <c r="H79" s="815"/>
      <c r="I79" s="815"/>
      <c r="J79" s="815"/>
      <c r="K79" s="815"/>
      <c r="L79" s="815"/>
      <c r="M79" s="815"/>
      <c r="N79" s="815"/>
      <c r="O79" s="815"/>
      <c r="P79" s="815"/>
      <c r="Q79" s="815"/>
      <c r="R79" s="815"/>
      <c r="S79" s="815"/>
      <c r="T79" s="815"/>
      <c r="U79" s="815"/>
      <c r="V79" s="815"/>
      <c r="W79" s="815"/>
      <c r="X79" s="815"/>
      <c r="Y79" s="815"/>
      <c r="Z79" s="815"/>
      <c r="AA79" s="815"/>
      <c r="AB79" s="815"/>
      <c r="AC79" s="815"/>
      <c r="AD79" s="815"/>
      <c r="AE79" s="815"/>
      <c r="AF79" s="815"/>
      <c r="AG79" s="815"/>
      <c r="AH79" s="815"/>
      <c r="AI79" s="815"/>
      <c r="AJ79" s="815"/>
      <c r="AK79" s="815"/>
      <c r="AL79" s="815"/>
      <c r="AM79" s="815"/>
      <c r="AN79" s="815"/>
      <c r="AO79" s="815"/>
      <c r="AP79" s="815"/>
      <c r="AQ79" s="815"/>
      <c r="AR79" s="815"/>
      <c r="AS79" s="815"/>
      <c r="AT79" s="815"/>
      <c r="AU79" s="815"/>
      <c r="AV79" s="815"/>
      <c r="AW79" s="815"/>
      <c r="AX79" s="815"/>
      <c r="AY79" s="815"/>
      <c r="AZ79" s="815"/>
      <c r="BA79" s="815"/>
      <c r="BB79" s="815"/>
      <c r="BC79" s="815"/>
      <c r="BD79" s="815"/>
      <c r="BE79" s="815"/>
      <c r="BF79" s="815"/>
      <c r="BG79" s="815"/>
      <c r="BH79" s="815"/>
      <c r="BI79" s="815"/>
      <c r="BJ79" s="815"/>
      <c r="BK79" s="815"/>
      <c r="BL79" s="815"/>
      <c r="BM79" s="815"/>
      <c r="BN79" s="815"/>
      <c r="BO79" s="815"/>
      <c r="BP79" s="815"/>
      <c r="BQ79" s="815"/>
      <c r="BR79" s="815"/>
      <c r="BS79" s="815"/>
      <c r="BT79" s="815"/>
      <c r="BU79" s="815"/>
      <c r="BV79" s="815"/>
      <c r="BW79" s="815"/>
      <c r="BX79" s="815"/>
      <c r="BY79" s="815"/>
      <c r="BZ79" s="815"/>
      <c r="CA79" s="815"/>
      <c r="CB79" s="815"/>
      <c r="CC79" s="815"/>
      <c r="CD79" s="815"/>
      <c r="CE79" s="815"/>
      <c r="CF79" s="815"/>
      <c r="CG79" s="815"/>
      <c r="CH79" s="815"/>
      <c r="CI79" s="815"/>
      <c r="CJ79" s="815"/>
      <c r="CK79" s="815"/>
      <c r="CL79" s="815"/>
      <c r="CM79" s="815"/>
      <c r="CN79" s="815"/>
      <c r="CO79" s="815"/>
      <c r="CP79" s="815"/>
    </row>
    <row r="80" spans="1:94" ht="11.25">
      <c r="A80" s="815"/>
      <c r="B80" s="815"/>
      <c r="C80" s="815"/>
      <c r="D80" s="815"/>
      <c r="E80" s="815"/>
      <c r="F80" s="815"/>
      <c r="G80" s="815"/>
      <c r="H80" s="815"/>
      <c r="I80" s="815"/>
      <c r="J80" s="815"/>
      <c r="K80" s="815"/>
      <c r="L80" s="815"/>
      <c r="M80" s="815"/>
      <c r="N80" s="815"/>
      <c r="O80" s="815"/>
      <c r="P80" s="815"/>
      <c r="Q80" s="815"/>
      <c r="R80" s="815"/>
      <c r="S80" s="815"/>
      <c r="T80" s="815"/>
      <c r="U80" s="815"/>
      <c r="V80" s="815"/>
      <c r="W80" s="815"/>
      <c r="X80" s="815"/>
      <c r="Y80" s="815"/>
      <c r="Z80" s="815"/>
      <c r="AA80" s="815"/>
      <c r="AB80" s="815"/>
      <c r="AC80" s="815"/>
      <c r="AD80" s="815"/>
      <c r="AE80" s="815"/>
      <c r="AF80" s="815"/>
      <c r="AG80" s="815"/>
      <c r="AH80" s="815"/>
      <c r="AI80" s="815"/>
      <c r="AJ80" s="815"/>
      <c r="AK80" s="815"/>
      <c r="AL80" s="815"/>
      <c r="AM80" s="815"/>
      <c r="AN80" s="815"/>
      <c r="AO80" s="815"/>
      <c r="AP80" s="815"/>
      <c r="AQ80" s="815"/>
      <c r="AR80" s="815"/>
      <c r="AS80" s="815"/>
      <c r="AT80" s="815"/>
      <c r="AU80" s="815"/>
      <c r="AV80" s="815"/>
      <c r="AW80" s="815"/>
      <c r="AX80" s="815"/>
      <c r="AY80" s="815"/>
      <c r="AZ80" s="815"/>
      <c r="BA80" s="815"/>
      <c r="BB80" s="815"/>
      <c r="BC80" s="815"/>
      <c r="BD80" s="815"/>
      <c r="BE80" s="815"/>
      <c r="BF80" s="815"/>
      <c r="BG80" s="815"/>
      <c r="BH80" s="815"/>
      <c r="BI80" s="815"/>
      <c r="BJ80" s="815"/>
      <c r="BK80" s="815"/>
      <c r="BL80" s="815"/>
      <c r="BM80" s="815"/>
      <c r="BN80" s="815"/>
      <c r="BO80" s="815"/>
      <c r="BP80" s="815"/>
      <c r="BQ80" s="815"/>
      <c r="BR80" s="815"/>
      <c r="BS80" s="815"/>
      <c r="BT80" s="815"/>
      <c r="BU80" s="815"/>
      <c r="BV80" s="815"/>
      <c r="BW80" s="815"/>
      <c r="BX80" s="815"/>
      <c r="BY80" s="815"/>
      <c r="BZ80" s="815"/>
      <c r="CA80" s="815"/>
      <c r="CB80" s="815"/>
      <c r="CC80" s="815"/>
      <c r="CD80" s="815"/>
      <c r="CE80" s="815"/>
      <c r="CF80" s="815"/>
      <c r="CG80" s="815"/>
      <c r="CH80" s="815"/>
      <c r="CI80" s="815"/>
      <c r="CJ80" s="815"/>
      <c r="CK80" s="815"/>
      <c r="CL80" s="815"/>
      <c r="CM80" s="815"/>
      <c r="CN80" s="815"/>
      <c r="CO80" s="815"/>
      <c r="CP80" s="815"/>
    </row>
    <row r="81" spans="1:94" ht="11.25">
      <c r="A81" s="815"/>
      <c r="B81" s="815"/>
      <c r="C81" s="815"/>
      <c r="D81" s="815"/>
      <c r="E81" s="815"/>
      <c r="F81" s="815"/>
      <c r="G81" s="815"/>
      <c r="H81" s="815"/>
      <c r="I81" s="815"/>
      <c r="J81" s="815"/>
      <c r="K81" s="815"/>
      <c r="L81" s="815"/>
      <c r="M81" s="815"/>
      <c r="N81" s="815"/>
      <c r="O81" s="815"/>
      <c r="P81" s="815"/>
      <c r="Q81" s="815"/>
      <c r="R81" s="815"/>
      <c r="S81" s="815"/>
      <c r="T81" s="815"/>
      <c r="U81" s="815"/>
      <c r="V81" s="815"/>
      <c r="W81" s="815"/>
      <c r="X81" s="815"/>
      <c r="Y81" s="815"/>
      <c r="Z81" s="815"/>
      <c r="AA81" s="815"/>
      <c r="AB81" s="815"/>
      <c r="AC81" s="815"/>
      <c r="AD81" s="815"/>
      <c r="AE81" s="815"/>
      <c r="AF81" s="815"/>
      <c r="AG81" s="815"/>
      <c r="AH81" s="815"/>
      <c r="AI81" s="815"/>
      <c r="AJ81" s="815"/>
      <c r="AK81" s="815"/>
      <c r="AL81" s="815"/>
      <c r="AM81" s="815"/>
      <c r="AN81" s="815"/>
      <c r="AO81" s="815"/>
      <c r="AP81" s="815"/>
      <c r="AQ81" s="815"/>
      <c r="AR81" s="815"/>
      <c r="AS81" s="815"/>
      <c r="AT81" s="815"/>
      <c r="AU81" s="815"/>
      <c r="AV81" s="815"/>
      <c r="AW81" s="815"/>
      <c r="AX81" s="815"/>
      <c r="AY81" s="815"/>
      <c r="AZ81" s="815"/>
      <c r="BA81" s="815"/>
      <c r="BB81" s="815"/>
      <c r="BC81" s="815"/>
      <c r="BD81" s="815"/>
      <c r="BE81" s="815"/>
      <c r="BF81" s="815"/>
      <c r="BG81" s="815"/>
      <c r="BH81" s="815"/>
      <c r="BI81" s="815"/>
      <c r="BJ81" s="815"/>
      <c r="BK81" s="815"/>
      <c r="BL81" s="815"/>
      <c r="BM81" s="815"/>
      <c r="BN81" s="815"/>
      <c r="BO81" s="815"/>
      <c r="BP81" s="815"/>
      <c r="BQ81" s="815"/>
      <c r="BR81" s="815"/>
      <c r="BS81" s="815"/>
      <c r="BT81" s="815"/>
      <c r="BU81" s="815"/>
      <c r="BV81" s="815"/>
      <c r="BW81" s="815"/>
      <c r="BX81" s="815"/>
      <c r="BY81" s="815"/>
      <c r="BZ81" s="815"/>
      <c r="CA81" s="815"/>
      <c r="CB81" s="815"/>
      <c r="CC81" s="815"/>
      <c r="CD81" s="815"/>
      <c r="CE81" s="815"/>
      <c r="CF81" s="815"/>
      <c r="CG81" s="815"/>
      <c r="CH81" s="815"/>
      <c r="CI81" s="815"/>
      <c r="CJ81" s="815"/>
      <c r="CK81" s="815"/>
      <c r="CL81" s="815"/>
      <c r="CM81" s="815"/>
      <c r="CN81" s="815"/>
      <c r="CO81" s="815"/>
      <c r="CP81" s="815"/>
    </row>
    <row r="82" spans="1:94" ht="11.25">
      <c r="A82" s="815"/>
      <c r="B82" s="815"/>
      <c r="C82" s="815"/>
      <c r="D82" s="815"/>
      <c r="E82" s="815"/>
      <c r="F82" s="815"/>
      <c r="G82" s="815"/>
      <c r="H82" s="815"/>
      <c r="I82" s="815"/>
      <c r="J82" s="815"/>
      <c r="K82" s="815"/>
      <c r="L82" s="815"/>
      <c r="M82" s="815"/>
      <c r="N82" s="815"/>
      <c r="O82" s="815"/>
      <c r="P82" s="815"/>
      <c r="Q82" s="815"/>
      <c r="R82" s="815"/>
      <c r="S82" s="815"/>
      <c r="T82" s="815"/>
      <c r="U82" s="815"/>
      <c r="V82" s="815"/>
      <c r="W82" s="815"/>
      <c r="X82" s="815"/>
      <c r="Y82" s="815"/>
      <c r="Z82" s="815"/>
      <c r="AA82" s="815"/>
      <c r="AB82" s="815"/>
      <c r="AC82" s="815"/>
      <c r="AD82" s="815"/>
      <c r="AE82" s="815"/>
      <c r="AF82" s="815"/>
      <c r="AG82" s="815"/>
      <c r="AH82" s="815"/>
      <c r="AI82" s="815"/>
      <c r="AJ82" s="815"/>
      <c r="AK82" s="815"/>
      <c r="AL82" s="815"/>
      <c r="AM82" s="815"/>
      <c r="AN82" s="815"/>
      <c r="AO82" s="815"/>
      <c r="AP82" s="815"/>
      <c r="AQ82" s="815"/>
      <c r="AR82" s="815"/>
      <c r="AS82" s="815"/>
      <c r="AT82" s="815"/>
      <c r="AU82" s="815"/>
      <c r="AV82" s="815"/>
      <c r="AW82" s="815"/>
      <c r="AX82" s="815"/>
      <c r="AY82" s="815"/>
      <c r="AZ82" s="815"/>
      <c r="BA82" s="815"/>
      <c r="BB82" s="815"/>
      <c r="BC82" s="815"/>
      <c r="BD82" s="815"/>
      <c r="BE82" s="815"/>
      <c r="BF82" s="815"/>
      <c r="BG82" s="815"/>
      <c r="BH82" s="815"/>
      <c r="BI82" s="815"/>
      <c r="BJ82" s="815"/>
      <c r="BK82" s="815"/>
      <c r="BL82" s="815"/>
      <c r="BM82" s="815"/>
      <c r="BN82" s="815"/>
      <c r="BO82" s="815"/>
      <c r="BP82" s="815"/>
      <c r="BQ82" s="815"/>
      <c r="BR82" s="815"/>
      <c r="BS82" s="815"/>
      <c r="BT82" s="815"/>
      <c r="BU82" s="815"/>
      <c r="BV82" s="815"/>
      <c r="BW82" s="815"/>
      <c r="BX82" s="815"/>
      <c r="BY82" s="815"/>
      <c r="BZ82" s="815"/>
      <c r="CA82" s="815"/>
      <c r="CB82" s="815"/>
      <c r="CC82" s="815"/>
      <c r="CD82" s="815"/>
      <c r="CE82" s="815"/>
      <c r="CF82" s="815"/>
      <c r="CG82" s="815"/>
      <c r="CH82" s="815"/>
      <c r="CI82" s="815"/>
      <c r="CJ82" s="815"/>
      <c r="CK82" s="815"/>
      <c r="CL82" s="815"/>
      <c r="CM82" s="815"/>
      <c r="CN82" s="815"/>
      <c r="CO82" s="815"/>
      <c r="CP82" s="815"/>
    </row>
    <row r="83" spans="1:94" ht="11.25">
      <c r="A83" s="815"/>
      <c r="B83" s="815"/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815"/>
      <c r="AL83" s="815"/>
      <c r="AM83" s="815"/>
      <c r="AN83" s="815"/>
      <c r="AO83" s="815"/>
      <c r="AP83" s="815"/>
      <c r="AQ83" s="815"/>
      <c r="AR83" s="815"/>
      <c r="AS83" s="815"/>
      <c r="AT83" s="815"/>
      <c r="AU83" s="815"/>
      <c r="AV83" s="815"/>
      <c r="AW83" s="815"/>
      <c r="AX83" s="815"/>
      <c r="AY83" s="815"/>
      <c r="AZ83" s="815"/>
      <c r="BA83" s="815"/>
      <c r="BB83" s="815"/>
      <c r="BC83" s="815"/>
      <c r="BD83" s="815"/>
      <c r="BE83" s="815"/>
      <c r="BF83" s="815"/>
      <c r="BG83" s="815"/>
      <c r="BH83" s="815"/>
      <c r="BI83" s="815"/>
      <c r="BJ83" s="815"/>
      <c r="BK83" s="815"/>
      <c r="BL83" s="815"/>
      <c r="BM83" s="815"/>
      <c r="BN83" s="815"/>
      <c r="BO83" s="815"/>
      <c r="BP83" s="815"/>
      <c r="BQ83" s="815"/>
      <c r="BR83" s="815"/>
      <c r="BS83" s="815"/>
      <c r="BT83" s="815"/>
      <c r="BU83" s="815"/>
      <c r="BV83" s="815"/>
      <c r="BW83" s="815"/>
      <c r="BX83" s="815"/>
      <c r="BY83" s="815"/>
      <c r="BZ83" s="815"/>
      <c r="CA83" s="815"/>
      <c r="CB83" s="815"/>
      <c r="CC83" s="815"/>
      <c r="CD83" s="815"/>
      <c r="CE83" s="815"/>
      <c r="CF83" s="815"/>
      <c r="CG83" s="815"/>
      <c r="CH83" s="815"/>
      <c r="CI83" s="815"/>
      <c r="CJ83" s="815"/>
      <c r="CK83" s="815"/>
      <c r="CL83" s="815"/>
      <c r="CM83" s="815"/>
      <c r="CN83" s="815"/>
      <c r="CO83" s="815"/>
      <c r="CP83" s="815"/>
    </row>
    <row r="84" spans="1:94" ht="11.25">
      <c r="A84" s="815"/>
      <c r="B84" s="815"/>
      <c r="C84" s="815"/>
      <c r="D84" s="815"/>
      <c r="E84" s="815"/>
      <c r="F84" s="815"/>
      <c r="G84" s="815"/>
      <c r="H84" s="815"/>
      <c r="I84" s="815"/>
      <c r="J84" s="815"/>
      <c r="K84" s="815"/>
      <c r="L84" s="815"/>
      <c r="M84" s="815"/>
      <c r="N84" s="815"/>
      <c r="O84" s="815"/>
      <c r="P84" s="815"/>
      <c r="Q84" s="815"/>
      <c r="R84" s="815"/>
      <c r="S84" s="815"/>
      <c r="T84" s="815"/>
      <c r="U84" s="815"/>
      <c r="V84" s="815"/>
      <c r="W84" s="815"/>
      <c r="X84" s="815"/>
      <c r="Y84" s="815"/>
      <c r="Z84" s="815"/>
      <c r="AA84" s="815"/>
      <c r="AB84" s="815"/>
      <c r="AC84" s="815"/>
      <c r="AD84" s="815"/>
      <c r="AE84" s="815"/>
      <c r="AF84" s="815"/>
      <c r="AG84" s="815"/>
      <c r="AH84" s="815"/>
      <c r="AI84" s="815"/>
      <c r="AJ84" s="815"/>
      <c r="AK84" s="815"/>
      <c r="AL84" s="815"/>
      <c r="AM84" s="815"/>
      <c r="AN84" s="815"/>
      <c r="AO84" s="815"/>
      <c r="AP84" s="815"/>
      <c r="AQ84" s="815"/>
      <c r="AR84" s="815"/>
      <c r="AS84" s="815"/>
      <c r="AT84" s="815"/>
      <c r="AU84" s="815"/>
      <c r="AV84" s="815"/>
      <c r="AW84" s="815"/>
      <c r="AX84" s="815"/>
      <c r="AY84" s="815"/>
      <c r="AZ84" s="815"/>
      <c r="BA84" s="815"/>
      <c r="BB84" s="815"/>
      <c r="BC84" s="815"/>
      <c r="BD84" s="815"/>
      <c r="BE84" s="815"/>
      <c r="BF84" s="815"/>
      <c r="BG84" s="815"/>
      <c r="BH84" s="815"/>
      <c r="BI84" s="815"/>
      <c r="BJ84" s="815"/>
      <c r="BK84" s="815"/>
      <c r="BL84" s="815"/>
      <c r="BM84" s="815"/>
      <c r="BN84" s="815"/>
      <c r="BO84" s="815"/>
      <c r="BP84" s="815"/>
      <c r="BQ84" s="815"/>
      <c r="BR84" s="815"/>
      <c r="BS84" s="815"/>
      <c r="BT84" s="815"/>
      <c r="BU84" s="815"/>
      <c r="BV84" s="815"/>
      <c r="BW84" s="815"/>
      <c r="BX84" s="815"/>
      <c r="BY84" s="815"/>
      <c r="BZ84" s="815"/>
      <c r="CA84" s="815"/>
      <c r="CB84" s="815"/>
      <c r="CC84" s="815"/>
      <c r="CD84" s="815"/>
      <c r="CE84" s="815"/>
      <c r="CF84" s="815"/>
      <c r="CG84" s="815"/>
      <c r="CH84" s="815"/>
      <c r="CI84" s="815"/>
      <c r="CJ84" s="815"/>
      <c r="CK84" s="815"/>
      <c r="CL84" s="815"/>
      <c r="CM84" s="815"/>
      <c r="CN84" s="815"/>
      <c r="CO84" s="815"/>
      <c r="CP84" s="815"/>
    </row>
    <row r="85" spans="1:94" ht="11.25">
      <c r="A85" s="815"/>
      <c r="B85" s="815"/>
      <c r="C85" s="815"/>
      <c r="D85" s="815"/>
      <c r="E85" s="815"/>
      <c r="F85" s="815"/>
      <c r="G85" s="815"/>
      <c r="H85" s="815"/>
      <c r="I85" s="815"/>
      <c r="J85" s="815"/>
      <c r="K85" s="815"/>
      <c r="L85" s="815"/>
      <c r="M85" s="815"/>
      <c r="N85" s="815"/>
      <c r="O85" s="815"/>
      <c r="P85" s="815"/>
      <c r="Q85" s="815"/>
      <c r="R85" s="815"/>
      <c r="S85" s="815"/>
      <c r="T85" s="815"/>
      <c r="U85" s="815"/>
      <c r="V85" s="815"/>
      <c r="W85" s="815"/>
      <c r="X85" s="815"/>
      <c r="Y85" s="815"/>
      <c r="Z85" s="815"/>
      <c r="AA85" s="815"/>
      <c r="AB85" s="815"/>
      <c r="AC85" s="815"/>
      <c r="AD85" s="815"/>
      <c r="AE85" s="815"/>
      <c r="AF85" s="815"/>
      <c r="AG85" s="815"/>
      <c r="AH85" s="815"/>
      <c r="AI85" s="815"/>
      <c r="AJ85" s="815"/>
      <c r="AK85" s="815"/>
      <c r="AL85" s="815"/>
      <c r="AM85" s="815"/>
      <c r="AN85" s="815"/>
      <c r="AO85" s="815"/>
      <c r="AP85" s="815"/>
      <c r="AQ85" s="815"/>
      <c r="AR85" s="815"/>
      <c r="AS85" s="815"/>
      <c r="AT85" s="815"/>
      <c r="AU85" s="815"/>
      <c r="AV85" s="815"/>
      <c r="AW85" s="815"/>
      <c r="AX85" s="815"/>
      <c r="AY85" s="815"/>
      <c r="AZ85" s="815"/>
      <c r="BA85" s="815"/>
      <c r="BB85" s="815"/>
      <c r="BC85" s="815"/>
      <c r="BD85" s="815"/>
      <c r="BE85" s="815"/>
      <c r="BF85" s="815"/>
      <c r="BG85" s="815"/>
      <c r="BH85" s="815"/>
      <c r="BI85" s="815"/>
      <c r="BJ85" s="815"/>
      <c r="BK85" s="815"/>
      <c r="BL85" s="815"/>
      <c r="BM85" s="815"/>
      <c r="BN85" s="815"/>
      <c r="BO85" s="815"/>
      <c r="BP85" s="815"/>
      <c r="BQ85" s="815"/>
      <c r="BR85" s="815"/>
      <c r="BS85" s="815"/>
      <c r="BT85" s="815"/>
      <c r="BU85" s="815"/>
      <c r="BV85" s="815"/>
      <c r="BW85" s="815"/>
      <c r="BX85" s="815"/>
      <c r="BY85" s="815"/>
      <c r="BZ85" s="815"/>
      <c r="CA85" s="815"/>
      <c r="CB85" s="815"/>
      <c r="CC85" s="815"/>
      <c r="CD85" s="815"/>
      <c r="CE85" s="815"/>
      <c r="CF85" s="815"/>
      <c r="CG85" s="815"/>
      <c r="CH85" s="815"/>
      <c r="CI85" s="815"/>
      <c r="CJ85" s="815"/>
      <c r="CK85" s="815"/>
      <c r="CL85" s="815"/>
      <c r="CM85" s="815"/>
      <c r="CN85" s="815"/>
      <c r="CO85" s="815"/>
      <c r="CP85" s="815"/>
    </row>
    <row r="86" spans="1:94" ht="11.25">
      <c r="A86" s="815"/>
      <c r="B86" s="815"/>
      <c r="C86" s="815"/>
      <c r="D86" s="815"/>
      <c r="E86" s="815"/>
      <c r="F86" s="815"/>
      <c r="G86" s="815"/>
      <c r="H86" s="815"/>
      <c r="I86" s="815"/>
      <c r="J86" s="815"/>
      <c r="K86" s="815"/>
      <c r="L86" s="815"/>
      <c r="M86" s="815"/>
      <c r="N86" s="815"/>
      <c r="O86" s="815"/>
      <c r="P86" s="815"/>
      <c r="Q86" s="815"/>
      <c r="R86" s="815"/>
      <c r="S86" s="815"/>
      <c r="T86" s="815"/>
      <c r="U86" s="815"/>
      <c r="V86" s="815"/>
      <c r="W86" s="815"/>
      <c r="X86" s="815"/>
      <c r="Y86" s="815"/>
      <c r="Z86" s="815"/>
      <c r="AA86" s="815"/>
      <c r="AB86" s="815"/>
      <c r="AC86" s="815"/>
      <c r="AD86" s="815"/>
      <c r="AE86" s="815"/>
      <c r="AF86" s="815"/>
      <c r="AG86" s="815"/>
      <c r="AH86" s="815"/>
      <c r="AI86" s="815"/>
      <c r="AJ86" s="815"/>
      <c r="AK86" s="815"/>
      <c r="AL86" s="815"/>
      <c r="AM86" s="815"/>
      <c r="AN86" s="815"/>
      <c r="AO86" s="815"/>
      <c r="AP86" s="815"/>
      <c r="AQ86" s="815"/>
      <c r="AR86" s="815"/>
      <c r="AS86" s="815"/>
      <c r="AT86" s="815"/>
      <c r="AU86" s="815"/>
      <c r="AV86" s="815"/>
      <c r="AW86" s="815"/>
      <c r="AX86" s="815"/>
      <c r="AY86" s="815"/>
      <c r="AZ86" s="815"/>
      <c r="BA86" s="815"/>
      <c r="BB86" s="815"/>
      <c r="BC86" s="815"/>
      <c r="BD86" s="815"/>
      <c r="BE86" s="815"/>
      <c r="BF86" s="815"/>
      <c r="BG86" s="815"/>
      <c r="BH86" s="815"/>
      <c r="BI86" s="815"/>
      <c r="BJ86" s="815"/>
      <c r="BK86" s="815"/>
      <c r="BL86" s="815"/>
      <c r="BM86" s="815"/>
      <c r="BN86" s="815"/>
      <c r="BO86" s="815"/>
      <c r="BP86" s="815"/>
      <c r="BQ86" s="815"/>
      <c r="BR86" s="815"/>
      <c r="BS86" s="815"/>
      <c r="BT86" s="815"/>
      <c r="BU86" s="815"/>
      <c r="BV86" s="815"/>
      <c r="BW86" s="815"/>
      <c r="BX86" s="815"/>
      <c r="BY86" s="815"/>
      <c r="BZ86" s="815"/>
      <c r="CA86" s="815"/>
      <c r="CB86" s="815"/>
      <c r="CC86" s="815"/>
      <c r="CD86" s="815"/>
      <c r="CE86" s="815"/>
      <c r="CF86" s="815"/>
      <c r="CG86" s="815"/>
      <c r="CH86" s="815"/>
      <c r="CI86" s="815"/>
      <c r="CJ86" s="815"/>
      <c r="CK86" s="815"/>
      <c r="CL86" s="815"/>
      <c r="CM86" s="815"/>
      <c r="CN86" s="815"/>
      <c r="CO86" s="815"/>
      <c r="CP86" s="815"/>
    </row>
    <row r="87" spans="1:94" ht="11.25">
      <c r="A87" s="815"/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  <c r="AC87" s="815"/>
      <c r="AD87" s="815"/>
      <c r="AE87" s="815"/>
      <c r="AF87" s="815"/>
      <c r="AG87" s="815"/>
      <c r="AH87" s="815"/>
      <c r="AI87" s="815"/>
      <c r="AJ87" s="815"/>
      <c r="AK87" s="815"/>
      <c r="AL87" s="815"/>
      <c r="AM87" s="815"/>
      <c r="AN87" s="815"/>
      <c r="AO87" s="815"/>
      <c r="AP87" s="815"/>
      <c r="AQ87" s="815"/>
      <c r="AR87" s="815"/>
      <c r="AS87" s="815"/>
      <c r="AT87" s="815"/>
      <c r="AU87" s="815"/>
      <c r="AV87" s="815"/>
      <c r="AW87" s="815"/>
      <c r="AX87" s="815"/>
      <c r="AY87" s="815"/>
      <c r="AZ87" s="815"/>
      <c r="BA87" s="815"/>
      <c r="BB87" s="815"/>
      <c r="BC87" s="815"/>
      <c r="BD87" s="815"/>
      <c r="BE87" s="815"/>
      <c r="BF87" s="815"/>
      <c r="BG87" s="815"/>
      <c r="BH87" s="815"/>
      <c r="BI87" s="815"/>
      <c r="BJ87" s="815"/>
      <c r="BK87" s="815"/>
      <c r="BL87" s="815"/>
      <c r="BM87" s="815"/>
      <c r="BN87" s="815"/>
      <c r="BO87" s="815"/>
      <c r="BP87" s="815"/>
      <c r="BQ87" s="815"/>
      <c r="BR87" s="815"/>
      <c r="BS87" s="815"/>
      <c r="BT87" s="815"/>
      <c r="BU87" s="815"/>
      <c r="BV87" s="815"/>
      <c r="BW87" s="815"/>
      <c r="BX87" s="815"/>
      <c r="BY87" s="815"/>
      <c r="BZ87" s="815"/>
      <c r="CA87" s="815"/>
      <c r="CB87" s="815"/>
      <c r="CC87" s="815"/>
      <c r="CD87" s="815"/>
      <c r="CE87" s="815"/>
      <c r="CF87" s="815"/>
      <c r="CG87" s="815"/>
      <c r="CH87" s="815"/>
      <c r="CI87" s="815"/>
      <c r="CJ87" s="815"/>
      <c r="CK87" s="815"/>
      <c r="CL87" s="815"/>
      <c r="CM87" s="815"/>
      <c r="CN87" s="815"/>
      <c r="CO87" s="815"/>
      <c r="CP87" s="815"/>
    </row>
    <row r="88" spans="1:94" ht="11.25">
      <c r="A88" s="815"/>
      <c r="B88" s="815"/>
      <c r="C88" s="815"/>
      <c r="D88" s="815"/>
      <c r="E88" s="815"/>
      <c r="F88" s="815"/>
      <c r="G88" s="815"/>
      <c r="H88" s="815"/>
      <c r="I88" s="815"/>
      <c r="J88" s="815"/>
      <c r="K88" s="815"/>
      <c r="L88" s="815"/>
      <c r="M88" s="815"/>
      <c r="N88" s="815"/>
      <c r="O88" s="815"/>
      <c r="P88" s="815"/>
      <c r="Q88" s="815"/>
      <c r="R88" s="815"/>
      <c r="S88" s="815"/>
      <c r="T88" s="815"/>
      <c r="U88" s="815"/>
      <c r="V88" s="815"/>
      <c r="W88" s="815"/>
      <c r="X88" s="815"/>
      <c r="Y88" s="815"/>
      <c r="Z88" s="815"/>
      <c r="AA88" s="815"/>
      <c r="AB88" s="815"/>
      <c r="AC88" s="815"/>
      <c r="AD88" s="815"/>
      <c r="AE88" s="815"/>
      <c r="AF88" s="815"/>
      <c r="AG88" s="815"/>
      <c r="AH88" s="815"/>
      <c r="AI88" s="815"/>
      <c r="AJ88" s="815"/>
      <c r="AK88" s="815"/>
      <c r="AL88" s="815"/>
      <c r="AM88" s="815"/>
      <c r="AN88" s="815"/>
      <c r="AO88" s="815"/>
      <c r="AP88" s="815"/>
      <c r="AQ88" s="815"/>
      <c r="AR88" s="815"/>
      <c r="AS88" s="815"/>
      <c r="AT88" s="815"/>
      <c r="AU88" s="815"/>
      <c r="AV88" s="815"/>
      <c r="AW88" s="815"/>
      <c r="AX88" s="815"/>
      <c r="AY88" s="815"/>
      <c r="AZ88" s="815"/>
      <c r="BA88" s="815"/>
      <c r="BB88" s="815"/>
      <c r="BC88" s="815"/>
      <c r="BD88" s="815"/>
      <c r="BE88" s="815"/>
      <c r="BF88" s="815"/>
      <c r="BG88" s="815"/>
      <c r="BH88" s="815"/>
      <c r="BI88" s="815"/>
      <c r="BJ88" s="815"/>
      <c r="BK88" s="815"/>
      <c r="BL88" s="815"/>
      <c r="BM88" s="815"/>
      <c r="BN88" s="815"/>
      <c r="BO88" s="815"/>
      <c r="BP88" s="815"/>
      <c r="BQ88" s="815"/>
      <c r="BR88" s="815"/>
      <c r="BS88" s="815"/>
      <c r="BT88" s="815"/>
      <c r="BU88" s="815"/>
      <c r="BV88" s="815"/>
      <c r="BW88" s="815"/>
      <c r="BX88" s="815"/>
      <c r="BY88" s="815"/>
      <c r="BZ88" s="815"/>
      <c r="CA88" s="815"/>
      <c r="CB88" s="815"/>
      <c r="CC88" s="815"/>
      <c r="CD88" s="815"/>
      <c r="CE88" s="815"/>
      <c r="CF88" s="815"/>
      <c r="CG88" s="815"/>
      <c r="CH88" s="815"/>
      <c r="CI88" s="815"/>
      <c r="CJ88" s="815"/>
      <c r="CK88" s="815"/>
      <c r="CL88" s="815"/>
      <c r="CM88" s="815"/>
      <c r="CN88" s="815"/>
      <c r="CO88" s="815"/>
      <c r="CP88" s="815"/>
    </row>
    <row r="89" spans="1:94" ht="11.25">
      <c r="A89" s="815"/>
      <c r="B89" s="815"/>
      <c r="C89" s="815"/>
      <c r="D89" s="815"/>
      <c r="E89" s="815"/>
      <c r="F89" s="815"/>
      <c r="G89" s="815"/>
      <c r="H89" s="815"/>
      <c r="I89" s="815"/>
      <c r="J89" s="815"/>
      <c r="K89" s="815"/>
      <c r="L89" s="815"/>
      <c r="M89" s="815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  <c r="Y89" s="815"/>
      <c r="Z89" s="815"/>
      <c r="AA89" s="815"/>
      <c r="AB89" s="815"/>
      <c r="AC89" s="815"/>
      <c r="AD89" s="815"/>
      <c r="AE89" s="815"/>
      <c r="AF89" s="815"/>
      <c r="AG89" s="815"/>
      <c r="AH89" s="815"/>
      <c r="AI89" s="815"/>
      <c r="AJ89" s="815"/>
      <c r="AK89" s="815"/>
      <c r="AL89" s="815"/>
      <c r="AM89" s="815"/>
      <c r="AN89" s="815"/>
      <c r="AO89" s="815"/>
      <c r="AP89" s="815"/>
      <c r="AQ89" s="815"/>
      <c r="AR89" s="815"/>
      <c r="AS89" s="815"/>
      <c r="AT89" s="815"/>
      <c r="AU89" s="815"/>
      <c r="AV89" s="815"/>
      <c r="AW89" s="815"/>
      <c r="AX89" s="815"/>
      <c r="AY89" s="815"/>
      <c r="AZ89" s="815"/>
      <c r="BA89" s="815"/>
      <c r="BB89" s="815"/>
      <c r="BC89" s="815"/>
      <c r="BD89" s="815"/>
      <c r="BE89" s="815"/>
      <c r="BF89" s="815"/>
      <c r="BG89" s="815"/>
      <c r="BH89" s="815"/>
      <c r="BI89" s="815"/>
      <c r="BJ89" s="815"/>
      <c r="BK89" s="815"/>
      <c r="BL89" s="815"/>
      <c r="BM89" s="815"/>
      <c r="BN89" s="815"/>
      <c r="BO89" s="815"/>
      <c r="BP89" s="815"/>
      <c r="BQ89" s="815"/>
      <c r="BR89" s="815"/>
      <c r="BS89" s="815"/>
      <c r="BT89" s="815"/>
      <c r="BU89" s="815"/>
      <c r="BV89" s="815"/>
      <c r="BW89" s="815"/>
      <c r="BX89" s="815"/>
      <c r="BY89" s="815"/>
      <c r="BZ89" s="815"/>
      <c r="CA89" s="815"/>
      <c r="CB89" s="815"/>
      <c r="CC89" s="815"/>
      <c r="CD89" s="815"/>
      <c r="CE89" s="815"/>
      <c r="CF89" s="815"/>
      <c r="CG89" s="815"/>
      <c r="CH89" s="815"/>
      <c r="CI89" s="815"/>
      <c r="CJ89" s="815"/>
      <c r="CK89" s="815"/>
      <c r="CL89" s="815"/>
      <c r="CM89" s="815"/>
      <c r="CN89" s="815"/>
      <c r="CO89" s="815"/>
      <c r="CP89" s="815"/>
    </row>
    <row r="90" spans="1:94" ht="11.25">
      <c r="A90" s="815"/>
      <c r="B90" s="815"/>
      <c r="C90" s="815"/>
      <c r="D90" s="815"/>
      <c r="E90" s="815"/>
      <c r="F90" s="815"/>
      <c r="G90" s="815"/>
      <c r="H90" s="815"/>
      <c r="I90" s="815"/>
      <c r="J90" s="815"/>
      <c r="K90" s="815"/>
      <c r="L90" s="815"/>
      <c r="M90" s="815"/>
      <c r="N90" s="815"/>
      <c r="O90" s="815"/>
      <c r="P90" s="815"/>
      <c r="Q90" s="815"/>
      <c r="R90" s="815"/>
      <c r="S90" s="815"/>
      <c r="T90" s="815"/>
      <c r="U90" s="815"/>
      <c r="V90" s="815"/>
      <c r="W90" s="815"/>
      <c r="X90" s="815"/>
      <c r="Y90" s="815"/>
      <c r="Z90" s="815"/>
      <c r="AA90" s="815"/>
      <c r="AB90" s="815"/>
      <c r="AC90" s="815"/>
      <c r="AD90" s="815"/>
      <c r="AE90" s="815"/>
      <c r="AF90" s="815"/>
      <c r="AG90" s="815"/>
      <c r="AH90" s="815"/>
      <c r="AI90" s="815"/>
      <c r="AJ90" s="815"/>
      <c r="AK90" s="815"/>
      <c r="AL90" s="815"/>
      <c r="AM90" s="815"/>
      <c r="AN90" s="815"/>
      <c r="AO90" s="815"/>
      <c r="AP90" s="815"/>
      <c r="AQ90" s="815"/>
      <c r="AR90" s="815"/>
      <c r="AS90" s="815"/>
      <c r="AT90" s="815"/>
      <c r="AU90" s="815"/>
      <c r="AV90" s="815"/>
      <c r="AW90" s="815"/>
      <c r="AX90" s="815"/>
      <c r="AY90" s="815"/>
      <c r="AZ90" s="815"/>
      <c r="BA90" s="815"/>
      <c r="BB90" s="815"/>
      <c r="BC90" s="815"/>
      <c r="BD90" s="815"/>
      <c r="BE90" s="815"/>
      <c r="BF90" s="815"/>
      <c r="BG90" s="815"/>
      <c r="BH90" s="815"/>
      <c r="BI90" s="815"/>
      <c r="BJ90" s="815"/>
      <c r="BK90" s="815"/>
      <c r="BL90" s="815"/>
      <c r="BM90" s="815"/>
      <c r="BN90" s="815"/>
      <c r="BO90" s="815"/>
      <c r="BP90" s="815"/>
      <c r="BQ90" s="815"/>
      <c r="BR90" s="815"/>
      <c r="BS90" s="815"/>
      <c r="BT90" s="815"/>
      <c r="BU90" s="815"/>
      <c r="BV90" s="815"/>
      <c r="BW90" s="815"/>
      <c r="BX90" s="815"/>
      <c r="BY90" s="815"/>
      <c r="BZ90" s="815"/>
      <c r="CA90" s="815"/>
      <c r="CB90" s="815"/>
      <c r="CC90" s="815"/>
      <c r="CD90" s="815"/>
      <c r="CE90" s="815"/>
      <c r="CF90" s="815"/>
      <c r="CG90" s="815"/>
      <c r="CH90" s="815"/>
      <c r="CI90" s="815"/>
      <c r="CJ90" s="815"/>
      <c r="CK90" s="815"/>
      <c r="CL90" s="815"/>
      <c r="CM90" s="815"/>
      <c r="CN90" s="815"/>
      <c r="CO90" s="815"/>
      <c r="CP90" s="815"/>
    </row>
    <row r="91" spans="1:94" ht="11.25">
      <c r="A91" s="815"/>
      <c r="B91" s="815"/>
      <c r="C91" s="815"/>
      <c r="D91" s="815"/>
      <c r="E91" s="815"/>
      <c r="F91" s="815"/>
      <c r="G91" s="815"/>
      <c r="H91" s="815"/>
      <c r="I91" s="815"/>
      <c r="J91" s="815"/>
      <c r="K91" s="815"/>
      <c r="L91" s="815"/>
      <c r="M91" s="815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  <c r="Y91" s="815"/>
      <c r="Z91" s="815"/>
      <c r="AA91" s="815"/>
      <c r="AB91" s="815"/>
      <c r="AC91" s="815"/>
      <c r="AD91" s="815"/>
      <c r="AE91" s="815"/>
      <c r="AF91" s="815"/>
      <c r="AG91" s="815"/>
      <c r="AH91" s="815"/>
      <c r="AI91" s="815"/>
      <c r="AJ91" s="815"/>
      <c r="AK91" s="815"/>
      <c r="AL91" s="815"/>
      <c r="AM91" s="815"/>
      <c r="AN91" s="815"/>
      <c r="AO91" s="815"/>
      <c r="AP91" s="815"/>
      <c r="AQ91" s="815"/>
      <c r="AR91" s="815"/>
      <c r="AS91" s="815"/>
      <c r="AT91" s="815"/>
      <c r="AU91" s="815"/>
      <c r="AV91" s="815"/>
      <c r="AW91" s="815"/>
      <c r="AX91" s="815"/>
      <c r="AY91" s="815"/>
      <c r="AZ91" s="815"/>
      <c r="BA91" s="815"/>
      <c r="BB91" s="815"/>
      <c r="BC91" s="815"/>
      <c r="BD91" s="815"/>
      <c r="BE91" s="815"/>
      <c r="BF91" s="815"/>
      <c r="BG91" s="815"/>
      <c r="BH91" s="815"/>
      <c r="BI91" s="815"/>
      <c r="BJ91" s="815"/>
      <c r="BK91" s="815"/>
      <c r="BL91" s="815"/>
      <c r="BM91" s="815"/>
      <c r="BN91" s="815"/>
      <c r="BO91" s="815"/>
      <c r="BP91" s="815"/>
      <c r="BQ91" s="815"/>
      <c r="BR91" s="815"/>
      <c r="BS91" s="815"/>
      <c r="BT91" s="815"/>
      <c r="BU91" s="815"/>
      <c r="BV91" s="815"/>
      <c r="BW91" s="815"/>
      <c r="BX91" s="815"/>
      <c r="BY91" s="815"/>
      <c r="BZ91" s="815"/>
      <c r="CA91" s="815"/>
      <c r="CB91" s="815"/>
      <c r="CC91" s="815"/>
      <c r="CD91" s="815"/>
      <c r="CE91" s="815"/>
      <c r="CF91" s="815"/>
      <c r="CG91" s="815"/>
      <c r="CH91" s="815"/>
      <c r="CI91" s="815"/>
      <c r="CJ91" s="815"/>
      <c r="CK91" s="815"/>
      <c r="CL91" s="815"/>
      <c r="CM91" s="815"/>
      <c r="CN91" s="815"/>
      <c r="CO91" s="815"/>
      <c r="CP91" s="815"/>
    </row>
    <row r="92" spans="1:94" ht="11.25">
      <c r="A92" s="815"/>
      <c r="B92" s="815"/>
      <c r="C92" s="815"/>
      <c r="D92" s="815"/>
      <c r="E92" s="815"/>
      <c r="F92" s="815"/>
      <c r="G92" s="815"/>
      <c r="H92" s="815"/>
      <c r="I92" s="815"/>
      <c r="J92" s="815"/>
      <c r="K92" s="815"/>
      <c r="L92" s="815"/>
      <c r="M92" s="815"/>
      <c r="N92" s="815"/>
      <c r="O92" s="815"/>
      <c r="P92" s="815"/>
      <c r="Q92" s="815"/>
      <c r="R92" s="815"/>
      <c r="S92" s="815"/>
      <c r="T92" s="815"/>
      <c r="U92" s="815"/>
      <c r="V92" s="815"/>
      <c r="W92" s="815"/>
      <c r="X92" s="815"/>
      <c r="Y92" s="815"/>
      <c r="Z92" s="815"/>
      <c r="AA92" s="815"/>
      <c r="AB92" s="815"/>
      <c r="AC92" s="815"/>
      <c r="AD92" s="815"/>
      <c r="AE92" s="815"/>
      <c r="AF92" s="815"/>
      <c r="AG92" s="815"/>
      <c r="AH92" s="815"/>
      <c r="AI92" s="815"/>
      <c r="AJ92" s="815"/>
      <c r="AK92" s="815"/>
      <c r="AL92" s="815"/>
      <c r="AM92" s="815"/>
      <c r="AN92" s="815"/>
      <c r="AO92" s="815"/>
      <c r="AP92" s="815"/>
      <c r="AQ92" s="815"/>
      <c r="AR92" s="815"/>
      <c r="AS92" s="815"/>
      <c r="AT92" s="815"/>
      <c r="AU92" s="815"/>
      <c r="AV92" s="815"/>
      <c r="AW92" s="815"/>
      <c r="AX92" s="815"/>
      <c r="AY92" s="815"/>
      <c r="AZ92" s="815"/>
      <c r="BA92" s="815"/>
      <c r="BB92" s="815"/>
      <c r="BC92" s="815"/>
      <c r="BD92" s="815"/>
      <c r="BE92" s="815"/>
      <c r="BF92" s="815"/>
      <c r="BG92" s="815"/>
      <c r="BH92" s="815"/>
      <c r="BI92" s="815"/>
      <c r="BJ92" s="815"/>
      <c r="BK92" s="815"/>
      <c r="BL92" s="815"/>
      <c r="BM92" s="815"/>
      <c r="BN92" s="815"/>
      <c r="BO92" s="815"/>
      <c r="BP92" s="815"/>
      <c r="BQ92" s="815"/>
      <c r="BR92" s="815"/>
      <c r="BS92" s="815"/>
      <c r="BT92" s="815"/>
      <c r="BU92" s="815"/>
      <c r="BV92" s="815"/>
      <c r="BW92" s="815"/>
      <c r="BX92" s="815"/>
      <c r="BY92" s="815"/>
      <c r="BZ92" s="815"/>
      <c r="CA92" s="815"/>
      <c r="CB92" s="815"/>
      <c r="CC92" s="815"/>
      <c r="CD92" s="815"/>
      <c r="CE92" s="815"/>
      <c r="CF92" s="815"/>
      <c r="CG92" s="815"/>
      <c r="CH92" s="815"/>
      <c r="CI92" s="815"/>
      <c r="CJ92" s="815"/>
      <c r="CK92" s="815"/>
      <c r="CL92" s="815"/>
      <c r="CM92" s="815"/>
      <c r="CN92" s="815"/>
      <c r="CO92" s="815"/>
      <c r="CP92" s="815"/>
    </row>
    <row r="93" spans="1:94" ht="11.25">
      <c r="A93" s="815"/>
      <c r="B93" s="815"/>
      <c r="C93" s="815"/>
      <c r="D93" s="815"/>
      <c r="E93" s="815"/>
      <c r="F93" s="815"/>
      <c r="G93" s="815"/>
      <c r="H93" s="815"/>
      <c r="I93" s="815"/>
      <c r="J93" s="815"/>
      <c r="K93" s="815"/>
      <c r="L93" s="815"/>
      <c r="M93" s="815"/>
      <c r="N93" s="815"/>
      <c r="O93" s="815"/>
      <c r="P93" s="815"/>
      <c r="Q93" s="815"/>
      <c r="R93" s="815"/>
      <c r="S93" s="815"/>
      <c r="T93" s="815"/>
      <c r="U93" s="815"/>
      <c r="V93" s="815"/>
      <c r="W93" s="815"/>
      <c r="X93" s="815"/>
      <c r="Y93" s="815"/>
      <c r="Z93" s="815"/>
      <c r="AA93" s="815"/>
      <c r="AB93" s="815"/>
      <c r="AC93" s="815"/>
      <c r="AD93" s="815"/>
      <c r="AE93" s="815"/>
      <c r="AF93" s="815"/>
      <c r="AG93" s="815"/>
      <c r="AH93" s="815"/>
      <c r="AI93" s="815"/>
      <c r="AJ93" s="815"/>
      <c r="AK93" s="815"/>
      <c r="AL93" s="815"/>
      <c r="AM93" s="815"/>
      <c r="AN93" s="815"/>
      <c r="AO93" s="815"/>
      <c r="AP93" s="815"/>
      <c r="AQ93" s="815"/>
      <c r="AR93" s="815"/>
      <c r="AS93" s="815"/>
      <c r="AT93" s="815"/>
      <c r="AU93" s="815"/>
      <c r="AV93" s="815"/>
      <c r="AW93" s="815"/>
      <c r="AX93" s="815"/>
      <c r="AY93" s="815"/>
      <c r="AZ93" s="815"/>
      <c r="BA93" s="815"/>
      <c r="BB93" s="815"/>
      <c r="BC93" s="815"/>
      <c r="BD93" s="815"/>
      <c r="BE93" s="815"/>
      <c r="BF93" s="815"/>
      <c r="BG93" s="815"/>
      <c r="BH93" s="815"/>
      <c r="BI93" s="815"/>
      <c r="BJ93" s="815"/>
      <c r="BK93" s="815"/>
      <c r="BL93" s="815"/>
      <c r="BM93" s="815"/>
      <c r="BN93" s="815"/>
      <c r="BO93" s="815"/>
      <c r="BP93" s="815"/>
      <c r="BQ93" s="815"/>
      <c r="BR93" s="815"/>
      <c r="BS93" s="815"/>
      <c r="BT93" s="815"/>
      <c r="BU93" s="815"/>
      <c r="BV93" s="815"/>
      <c r="BW93" s="815"/>
      <c r="BX93" s="815"/>
      <c r="BY93" s="815"/>
      <c r="BZ93" s="815"/>
      <c r="CA93" s="815"/>
      <c r="CB93" s="815"/>
      <c r="CC93" s="815"/>
      <c r="CD93" s="815"/>
      <c r="CE93" s="815"/>
      <c r="CF93" s="815"/>
      <c r="CG93" s="815"/>
      <c r="CH93" s="815"/>
      <c r="CI93" s="815"/>
      <c r="CJ93" s="815"/>
      <c r="CK93" s="815"/>
      <c r="CL93" s="815"/>
      <c r="CM93" s="815"/>
      <c r="CN93" s="815"/>
      <c r="CO93" s="815"/>
      <c r="CP93" s="815"/>
    </row>
    <row r="94" spans="1:94" ht="11.25">
      <c r="A94" s="815"/>
      <c r="B94" s="815"/>
      <c r="C94" s="815"/>
      <c r="D94" s="815"/>
      <c r="E94" s="815"/>
      <c r="F94" s="815"/>
      <c r="G94" s="815"/>
      <c r="H94" s="815"/>
      <c r="I94" s="815"/>
      <c r="J94" s="815"/>
      <c r="K94" s="815"/>
      <c r="L94" s="815"/>
      <c r="M94" s="815"/>
      <c r="N94" s="815"/>
      <c r="O94" s="815"/>
      <c r="P94" s="815"/>
      <c r="Q94" s="815"/>
      <c r="R94" s="815"/>
      <c r="S94" s="815"/>
      <c r="T94" s="815"/>
      <c r="U94" s="815"/>
      <c r="V94" s="815"/>
      <c r="W94" s="815"/>
      <c r="X94" s="815"/>
      <c r="Y94" s="815"/>
      <c r="Z94" s="815"/>
      <c r="AA94" s="815"/>
      <c r="AB94" s="815"/>
      <c r="AC94" s="815"/>
      <c r="AD94" s="815"/>
      <c r="AE94" s="815"/>
      <c r="AF94" s="815"/>
      <c r="AG94" s="815"/>
      <c r="AH94" s="815"/>
      <c r="AI94" s="815"/>
      <c r="AJ94" s="815"/>
      <c r="AK94" s="815"/>
      <c r="AL94" s="815"/>
      <c r="AM94" s="815"/>
      <c r="AN94" s="815"/>
      <c r="AO94" s="815"/>
      <c r="AP94" s="815"/>
      <c r="AQ94" s="815"/>
      <c r="AR94" s="815"/>
      <c r="AS94" s="815"/>
      <c r="AT94" s="815"/>
      <c r="AU94" s="815"/>
      <c r="AV94" s="815"/>
      <c r="AW94" s="815"/>
      <c r="AX94" s="815"/>
      <c r="AY94" s="815"/>
      <c r="AZ94" s="815"/>
      <c r="BA94" s="815"/>
      <c r="BB94" s="815"/>
      <c r="BC94" s="815"/>
      <c r="BD94" s="815"/>
      <c r="BE94" s="815"/>
      <c r="BF94" s="815"/>
      <c r="BG94" s="815"/>
      <c r="BH94" s="815"/>
      <c r="BI94" s="815"/>
      <c r="BJ94" s="815"/>
      <c r="BK94" s="815"/>
      <c r="BL94" s="815"/>
      <c r="BM94" s="815"/>
      <c r="BN94" s="815"/>
      <c r="BO94" s="815"/>
      <c r="BP94" s="815"/>
      <c r="BQ94" s="815"/>
      <c r="BR94" s="815"/>
      <c r="BS94" s="815"/>
      <c r="BT94" s="815"/>
      <c r="BU94" s="815"/>
      <c r="BV94" s="815"/>
      <c r="BW94" s="815"/>
      <c r="BX94" s="815"/>
      <c r="BY94" s="815"/>
      <c r="BZ94" s="815"/>
      <c r="CA94" s="815"/>
      <c r="CB94" s="815"/>
      <c r="CC94" s="815"/>
      <c r="CD94" s="815"/>
      <c r="CE94" s="815"/>
      <c r="CF94" s="815"/>
      <c r="CG94" s="815"/>
      <c r="CH94" s="815"/>
      <c r="CI94" s="815"/>
      <c r="CJ94" s="815"/>
      <c r="CK94" s="815"/>
      <c r="CL94" s="815"/>
      <c r="CM94" s="815"/>
      <c r="CN94" s="815"/>
      <c r="CO94" s="815"/>
      <c r="CP94" s="815"/>
    </row>
    <row r="95" spans="1:94" ht="11.25">
      <c r="A95" s="815"/>
      <c r="B95" s="815"/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815"/>
      <c r="AK95" s="815"/>
      <c r="AL95" s="815"/>
      <c r="AM95" s="815"/>
      <c r="AN95" s="815"/>
      <c r="AO95" s="815"/>
      <c r="AP95" s="815"/>
      <c r="AQ95" s="815"/>
      <c r="AR95" s="815"/>
      <c r="AS95" s="815"/>
      <c r="AT95" s="815"/>
      <c r="AU95" s="815"/>
      <c r="AV95" s="815"/>
      <c r="AW95" s="815"/>
      <c r="AX95" s="815"/>
      <c r="AY95" s="815"/>
      <c r="AZ95" s="815"/>
      <c r="BA95" s="815"/>
      <c r="BB95" s="815"/>
      <c r="BC95" s="815"/>
      <c r="BD95" s="815"/>
      <c r="BE95" s="815"/>
      <c r="BF95" s="815"/>
      <c r="BG95" s="815"/>
      <c r="BH95" s="815"/>
      <c r="BI95" s="815"/>
      <c r="BJ95" s="815"/>
      <c r="BK95" s="815"/>
      <c r="BL95" s="815"/>
      <c r="BM95" s="815"/>
      <c r="BN95" s="815"/>
      <c r="BO95" s="815"/>
      <c r="BP95" s="815"/>
      <c r="BQ95" s="815"/>
      <c r="BR95" s="815"/>
      <c r="BS95" s="815"/>
      <c r="BT95" s="815"/>
      <c r="BU95" s="815"/>
      <c r="BV95" s="815"/>
      <c r="BW95" s="815"/>
      <c r="BX95" s="815"/>
      <c r="BY95" s="815"/>
      <c r="BZ95" s="815"/>
      <c r="CA95" s="815"/>
      <c r="CB95" s="815"/>
      <c r="CC95" s="815"/>
      <c r="CD95" s="815"/>
      <c r="CE95" s="815"/>
      <c r="CF95" s="815"/>
      <c r="CG95" s="815"/>
      <c r="CH95" s="815"/>
      <c r="CI95" s="815"/>
      <c r="CJ95" s="815"/>
      <c r="CK95" s="815"/>
      <c r="CL95" s="815"/>
      <c r="CM95" s="815"/>
      <c r="CN95" s="815"/>
      <c r="CO95" s="815"/>
      <c r="CP95" s="815"/>
    </row>
    <row r="96" spans="1:94" ht="11.25">
      <c r="A96" s="815"/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C96" s="815"/>
      <c r="AD96" s="815"/>
      <c r="AE96" s="815"/>
      <c r="AF96" s="815"/>
      <c r="AG96" s="815"/>
      <c r="AH96" s="815"/>
      <c r="AI96" s="815"/>
      <c r="AJ96" s="815"/>
      <c r="AK96" s="815"/>
      <c r="AL96" s="815"/>
      <c r="AM96" s="815"/>
      <c r="AN96" s="815"/>
      <c r="AO96" s="815"/>
      <c r="AP96" s="815"/>
      <c r="AQ96" s="815"/>
      <c r="AR96" s="815"/>
      <c r="AS96" s="815"/>
      <c r="AT96" s="815"/>
      <c r="AU96" s="815"/>
      <c r="AV96" s="815"/>
      <c r="AW96" s="815"/>
      <c r="AX96" s="815"/>
      <c r="AY96" s="815"/>
      <c r="AZ96" s="815"/>
      <c r="BA96" s="815"/>
      <c r="BB96" s="815"/>
      <c r="BC96" s="815"/>
      <c r="BD96" s="815"/>
      <c r="BE96" s="815"/>
      <c r="BF96" s="815"/>
      <c r="BG96" s="815"/>
      <c r="BH96" s="815"/>
      <c r="BI96" s="815"/>
      <c r="BJ96" s="815"/>
      <c r="BK96" s="815"/>
      <c r="BL96" s="815"/>
      <c r="BM96" s="815"/>
      <c r="BN96" s="815"/>
      <c r="BO96" s="815"/>
      <c r="BP96" s="815"/>
      <c r="BQ96" s="815"/>
      <c r="BR96" s="815"/>
      <c r="BS96" s="815"/>
      <c r="BT96" s="815"/>
      <c r="BU96" s="815"/>
      <c r="BV96" s="815"/>
      <c r="BW96" s="815"/>
      <c r="BX96" s="815"/>
      <c r="BY96" s="815"/>
      <c r="BZ96" s="815"/>
      <c r="CA96" s="815"/>
      <c r="CB96" s="815"/>
      <c r="CC96" s="815"/>
      <c r="CD96" s="815"/>
      <c r="CE96" s="815"/>
      <c r="CF96" s="815"/>
      <c r="CG96" s="815"/>
      <c r="CH96" s="815"/>
      <c r="CI96" s="815"/>
      <c r="CJ96" s="815"/>
      <c r="CK96" s="815"/>
      <c r="CL96" s="815"/>
      <c r="CM96" s="815"/>
      <c r="CN96" s="815"/>
      <c r="CO96" s="815"/>
      <c r="CP96" s="815"/>
    </row>
    <row r="97" spans="1:94" ht="11.25">
      <c r="A97" s="815"/>
      <c r="B97" s="815"/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15"/>
      <c r="T97" s="815"/>
      <c r="U97" s="815"/>
      <c r="V97" s="815"/>
      <c r="W97" s="815"/>
      <c r="X97" s="815"/>
      <c r="Y97" s="815"/>
      <c r="Z97" s="815"/>
      <c r="AA97" s="815"/>
      <c r="AB97" s="815"/>
      <c r="AC97" s="815"/>
      <c r="AD97" s="815"/>
      <c r="AE97" s="815"/>
      <c r="AF97" s="815"/>
      <c r="AG97" s="815"/>
      <c r="AH97" s="815"/>
      <c r="AI97" s="815"/>
      <c r="AJ97" s="815"/>
      <c r="AK97" s="815"/>
      <c r="AL97" s="815"/>
      <c r="AM97" s="815"/>
      <c r="AN97" s="815"/>
      <c r="AO97" s="815"/>
      <c r="AP97" s="815"/>
      <c r="AQ97" s="815"/>
      <c r="AR97" s="815"/>
      <c r="AS97" s="815"/>
      <c r="AT97" s="815"/>
      <c r="AU97" s="815"/>
      <c r="AV97" s="815"/>
      <c r="AW97" s="815"/>
      <c r="AX97" s="815"/>
      <c r="AY97" s="815"/>
      <c r="AZ97" s="815"/>
      <c r="BA97" s="815"/>
      <c r="BB97" s="815"/>
      <c r="BC97" s="815"/>
      <c r="BD97" s="815"/>
      <c r="BE97" s="815"/>
      <c r="BF97" s="815"/>
      <c r="BG97" s="815"/>
      <c r="BH97" s="815"/>
      <c r="BI97" s="815"/>
      <c r="BJ97" s="815"/>
      <c r="BK97" s="815"/>
      <c r="BL97" s="815"/>
      <c r="BM97" s="815"/>
      <c r="BN97" s="815"/>
      <c r="BO97" s="815"/>
      <c r="BP97" s="815"/>
      <c r="BQ97" s="815"/>
      <c r="BR97" s="815"/>
      <c r="BS97" s="815"/>
      <c r="BT97" s="815"/>
      <c r="BU97" s="815"/>
      <c r="BV97" s="815"/>
      <c r="BW97" s="815"/>
      <c r="BX97" s="815"/>
      <c r="BY97" s="815"/>
      <c r="BZ97" s="815"/>
      <c r="CA97" s="815"/>
      <c r="CB97" s="815"/>
      <c r="CC97" s="815"/>
      <c r="CD97" s="815"/>
      <c r="CE97" s="815"/>
      <c r="CF97" s="815"/>
      <c r="CG97" s="815"/>
      <c r="CH97" s="815"/>
      <c r="CI97" s="815"/>
      <c r="CJ97" s="815"/>
      <c r="CK97" s="815"/>
      <c r="CL97" s="815"/>
      <c r="CM97" s="815"/>
      <c r="CN97" s="815"/>
      <c r="CO97" s="815"/>
      <c r="CP97" s="815"/>
    </row>
    <row r="98" spans="1:94" ht="11.25">
      <c r="A98" s="815"/>
      <c r="B98" s="815"/>
      <c r="C98" s="815"/>
      <c r="D98" s="815"/>
      <c r="E98" s="815"/>
      <c r="F98" s="815"/>
      <c r="G98" s="815"/>
      <c r="H98" s="815"/>
      <c r="I98" s="815"/>
      <c r="J98" s="815"/>
      <c r="K98" s="815"/>
      <c r="L98" s="815"/>
      <c r="M98" s="815"/>
      <c r="N98" s="815"/>
      <c r="O98" s="815"/>
      <c r="P98" s="815"/>
      <c r="Q98" s="815"/>
      <c r="R98" s="815"/>
      <c r="S98" s="815"/>
      <c r="T98" s="815"/>
      <c r="U98" s="815"/>
      <c r="V98" s="815"/>
      <c r="W98" s="815"/>
      <c r="X98" s="815"/>
      <c r="Y98" s="815"/>
      <c r="Z98" s="815"/>
      <c r="AA98" s="815"/>
      <c r="AB98" s="815"/>
      <c r="AC98" s="815"/>
      <c r="AD98" s="815"/>
      <c r="AE98" s="815"/>
      <c r="AF98" s="815"/>
      <c r="AG98" s="815"/>
      <c r="AH98" s="815"/>
      <c r="AI98" s="815"/>
      <c r="AJ98" s="815"/>
      <c r="AK98" s="815"/>
      <c r="AL98" s="815"/>
      <c r="AM98" s="815"/>
      <c r="AN98" s="815"/>
      <c r="AO98" s="815"/>
      <c r="AP98" s="815"/>
      <c r="AQ98" s="815"/>
      <c r="AR98" s="815"/>
      <c r="AS98" s="815"/>
      <c r="AT98" s="815"/>
      <c r="AU98" s="815"/>
      <c r="AV98" s="815"/>
      <c r="AW98" s="815"/>
      <c r="AX98" s="815"/>
      <c r="AY98" s="815"/>
      <c r="AZ98" s="815"/>
      <c r="BA98" s="815"/>
      <c r="BB98" s="815"/>
      <c r="BC98" s="815"/>
      <c r="BD98" s="815"/>
      <c r="BE98" s="815"/>
      <c r="BF98" s="815"/>
      <c r="BG98" s="815"/>
      <c r="BH98" s="815"/>
      <c r="BI98" s="815"/>
      <c r="BJ98" s="815"/>
      <c r="BK98" s="815"/>
      <c r="BL98" s="815"/>
      <c r="BM98" s="815"/>
      <c r="BN98" s="815"/>
      <c r="BO98" s="815"/>
      <c r="BP98" s="815"/>
      <c r="BQ98" s="815"/>
      <c r="BR98" s="815"/>
      <c r="BS98" s="815"/>
      <c r="BT98" s="815"/>
      <c r="BU98" s="815"/>
      <c r="BV98" s="815"/>
      <c r="BW98" s="815"/>
      <c r="BX98" s="815"/>
      <c r="BY98" s="815"/>
      <c r="BZ98" s="815"/>
      <c r="CA98" s="815"/>
      <c r="CB98" s="815"/>
      <c r="CC98" s="815"/>
      <c r="CD98" s="815"/>
      <c r="CE98" s="815"/>
      <c r="CF98" s="815"/>
      <c r="CG98" s="815"/>
      <c r="CH98" s="815"/>
      <c r="CI98" s="815"/>
      <c r="CJ98" s="815"/>
      <c r="CK98" s="815"/>
      <c r="CL98" s="815"/>
      <c r="CM98" s="815"/>
      <c r="CN98" s="815"/>
      <c r="CO98" s="815"/>
      <c r="CP98" s="815"/>
    </row>
    <row r="99" spans="1:94" ht="11.25">
      <c r="A99" s="815"/>
      <c r="B99" s="815"/>
      <c r="C99" s="815"/>
      <c r="D99" s="815"/>
      <c r="E99" s="815"/>
      <c r="F99" s="815"/>
      <c r="G99" s="815"/>
      <c r="H99" s="815"/>
      <c r="I99" s="815"/>
      <c r="J99" s="815"/>
      <c r="K99" s="815"/>
      <c r="L99" s="815"/>
      <c r="M99" s="815"/>
      <c r="N99" s="815"/>
      <c r="O99" s="815"/>
      <c r="P99" s="815"/>
      <c r="Q99" s="815"/>
      <c r="R99" s="815"/>
      <c r="S99" s="815"/>
      <c r="T99" s="815"/>
      <c r="U99" s="815"/>
      <c r="V99" s="815"/>
      <c r="W99" s="815"/>
      <c r="X99" s="815"/>
      <c r="Y99" s="815"/>
      <c r="Z99" s="815"/>
      <c r="AA99" s="815"/>
      <c r="AB99" s="815"/>
      <c r="AC99" s="815"/>
      <c r="AD99" s="815"/>
      <c r="AE99" s="815"/>
      <c r="AF99" s="815"/>
      <c r="AG99" s="815"/>
      <c r="AH99" s="815"/>
      <c r="AI99" s="815"/>
      <c r="AJ99" s="815"/>
      <c r="AK99" s="815"/>
      <c r="AL99" s="815"/>
      <c r="AM99" s="815"/>
      <c r="AN99" s="815"/>
      <c r="AO99" s="815"/>
      <c r="AP99" s="815"/>
      <c r="AQ99" s="815"/>
      <c r="AR99" s="815"/>
      <c r="AS99" s="815"/>
      <c r="AT99" s="815"/>
      <c r="AU99" s="815"/>
      <c r="AV99" s="815"/>
      <c r="AW99" s="815"/>
      <c r="AX99" s="815"/>
      <c r="AY99" s="815"/>
      <c r="AZ99" s="815"/>
      <c r="BA99" s="815"/>
      <c r="BB99" s="815"/>
      <c r="BC99" s="815"/>
      <c r="BD99" s="815"/>
      <c r="BE99" s="815"/>
      <c r="BF99" s="815"/>
      <c r="BG99" s="815"/>
      <c r="BH99" s="815"/>
      <c r="BI99" s="815"/>
      <c r="BJ99" s="815"/>
      <c r="BK99" s="815"/>
      <c r="BL99" s="815"/>
      <c r="BM99" s="815"/>
      <c r="BN99" s="815"/>
      <c r="BO99" s="815"/>
      <c r="BP99" s="815"/>
      <c r="BQ99" s="815"/>
      <c r="BR99" s="815"/>
      <c r="BS99" s="815"/>
      <c r="BT99" s="815"/>
      <c r="BU99" s="815"/>
      <c r="BV99" s="815"/>
      <c r="BW99" s="815"/>
      <c r="BX99" s="815"/>
      <c r="BY99" s="815"/>
      <c r="BZ99" s="815"/>
      <c r="CA99" s="815"/>
      <c r="CB99" s="815"/>
      <c r="CC99" s="815"/>
      <c r="CD99" s="815"/>
      <c r="CE99" s="815"/>
      <c r="CF99" s="815"/>
      <c r="CG99" s="815"/>
      <c r="CH99" s="815"/>
      <c r="CI99" s="815"/>
      <c r="CJ99" s="815"/>
      <c r="CK99" s="815"/>
      <c r="CL99" s="815"/>
      <c r="CM99" s="815"/>
      <c r="CN99" s="815"/>
      <c r="CO99" s="815"/>
      <c r="CP99" s="815"/>
    </row>
    <row r="100" spans="1:94" ht="11.25">
      <c r="A100" s="815"/>
      <c r="B100" s="815"/>
      <c r="C100" s="815"/>
      <c r="D100" s="815"/>
      <c r="E100" s="815"/>
      <c r="F100" s="815"/>
      <c r="G100" s="815"/>
      <c r="H100" s="815"/>
      <c r="I100" s="815"/>
      <c r="J100" s="815"/>
      <c r="K100" s="815"/>
      <c r="L100" s="815"/>
      <c r="M100" s="815"/>
      <c r="N100" s="815"/>
      <c r="O100" s="815"/>
      <c r="P100" s="815"/>
      <c r="Q100" s="815"/>
      <c r="R100" s="815"/>
      <c r="S100" s="815"/>
      <c r="T100" s="815"/>
      <c r="U100" s="815"/>
      <c r="V100" s="815"/>
      <c r="W100" s="815"/>
      <c r="X100" s="815"/>
      <c r="Y100" s="815"/>
      <c r="Z100" s="815"/>
      <c r="AA100" s="815"/>
      <c r="AB100" s="815"/>
      <c r="AC100" s="815"/>
      <c r="AD100" s="815"/>
      <c r="AE100" s="815"/>
      <c r="AF100" s="815"/>
      <c r="AG100" s="815"/>
      <c r="AH100" s="815"/>
      <c r="AI100" s="815"/>
      <c r="AJ100" s="815"/>
      <c r="AK100" s="815"/>
      <c r="AL100" s="815"/>
      <c r="AM100" s="815"/>
      <c r="AN100" s="815"/>
      <c r="AO100" s="815"/>
      <c r="AP100" s="815"/>
      <c r="AQ100" s="815"/>
      <c r="AR100" s="815"/>
      <c r="AS100" s="815"/>
      <c r="AT100" s="815"/>
      <c r="AU100" s="815"/>
      <c r="AV100" s="815"/>
      <c r="AW100" s="815"/>
      <c r="AX100" s="815"/>
      <c r="AY100" s="815"/>
      <c r="AZ100" s="815"/>
      <c r="BA100" s="815"/>
      <c r="BB100" s="815"/>
      <c r="BC100" s="815"/>
      <c r="BD100" s="815"/>
      <c r="BE100" s="815"/>
      <c r="BF100" s="815"/>
      <c r="BG100" s="815"/>
      <c r="BH100" s="815"/>
      <c r="BI100" s="815"/>
      <c r="BJ100" s="815"/>
      <c r="BK100" s="815"/>
      <c r="BL100" s="815"/>
      <c r="BM100" s="815"/>
      <c r="BN100" s="815"/>
      <c r="BO100" s="815"/>
      <c r="BP100" s="815"/>
      <c r="BQ100" s="815"/>
      <c r="BR100" s="815"/>
      <c r="BS100" s="815"/>
      <c r="BT100" s="815"/>
      <c r="BU100" s="815"/>
      <c r="BV100" s="815"/>
      <c r="BW100" s="815"/>
      <c r="BX100" s="815"/>
      <c r="BY100" s="815"/>
      <c r="BZ100" s="815"/>
      <c r="CA100" s="815"/>
      <c r="CB100" s="815"/>
      <c r="CC100" s="815"/>
      <c r="CD100" s="815"/>
      <c r="CE100" s="815"/>
      <c r="CF100" s="815"/>
      <c r="CG100" s="815"/>
      <c r="CH100" s="815"/>
      <c r="CI100" s="815"/>
      <c r="CJ100" s="815"/>
      <c r="CK100" s="815"/>
      <c r="CL100" s="815"/>
      <c r="CM100" s="815"/>
      <c r="CN100" s="815"/>
      <c r="CO100" s="815"/>
      <c r="CP100" s="815"/>
    </row>
    <row r="101" spans="1:94" ht="11.25">
      <c r="A101" s="815"/>
      <c r="B101" s="815"/>
      <c r="C101" s="815"/>
      <c r="D101" s="815"/>
      <c r="E101" s="815"/>
      <c r="F101" s="815"/>
      <c r="G101" s="815"/>
      <c r="H101" s="815"/>
      <c r="I101" s="815"/>
      <c r="J101" s="815"/>
      <c r="K101" s="815"/>
      <c r="L101" s="815"/>
      <c r="M101" s="815"/>
      <c r="N101" s="815"/>
      <c r="O101" s="815"/>
      <c r="P101" s="815"/>
      <c r="Q101" s="815"/>
      <c r="R101" s="815"/>
      <c r="S101" s="815"/>
      <c r="T101" s="815"/>
      <c r="U101" s="815"/>
      <c r="V101" s="815"/>
      <c r="W101" s="815"/>
      <c r="X101" s="815"/>
      <c r="Y101" s="815"/>
      <c r="Z101" s="815"/>
      <c r="AA101" s="815"/>
      <c r="AB101" s="815"/>
      <c r="AC101" s="815"/>
      <c r="AD101" s="815"/>
      <c r="AE101" s="815"/>
      <c r="AF101" s="815"/>
      <c r="AG101" s="815"/>
      <c r="AH101" s="815"/>
      <c r="AI101" s="815"/>
      <c r="AJ101" s="815"/>
      <c r="AK101" s="815"/>
      <c r="AL101" s="815"/>
      <c r="AM101" s="815"/>
      <c r="AN101" s="815"/>
      <c r="AO101" s="815"/>
      <c r="AP101" s="815"/>
      <c r="AQ101" s="815"/>
      <c r="AR101" s="815"/>
      <c r="AS101" s="815"/>
      <c r="AT101" s="815"/>
      <c r="AU101" s="815"/>
      <c r="AV101" s="815"/>
      <c r="AW101" s="815"/>
      <c r="AX101" s="815"/>
      <c r="AY101" s="815"/>
      <c r="AZ101" s="815"/>
      <c r="BA101" s="815"/>
      <c r="BB101" s="815"/>
      <c r="BC101" s="815"/>
      <c r="BD101" s="815"/>
      <c r="BE101" s="815"/>
      <c r="BF101" s="815"/>
      <c r="BG101" s="815"/>
      <c r="BH101" s="815"/>
      <c r="BI101" s="815"/>
      <c r="BJ101" s="815"/>
      <c r="BK101" s="815"/>
      <c r="BL101" s="815"/>
      <c r="BM101" s="815"/>
      <c r="BN101" s="815"/>
      <c r="BO101" s="815"/>
      <c r="BP101" s="815"/>
      <c r="BQ101" s="815"/>
      <c r="BR101" s="815"/>
      <c r="BS101" s="815"/>
      <c r="BT101" s="815"/>
      <c r="BU101" s="815"/>
      <c r="BV101" s="815"/>
      <c r="BW101" s="815"/>
      <c r="BX101" s="815"/>
      <c r="BY101" s="815"/>
      <c r="BZ101" s="815"/>
      <c r="CA101" s="815"/>
      <c r="CB101" s="815"/>
      <c r="CC101" s="815"/>
      <c r="CD101" s="815"/>
      <c r="CE101" s="815"/>
      <c r="CF101" s="815"/>
      <c r="CG101" s="815"/>
      <c r="CH101" s="815"/>
      <c r="CI101" s="815"/>
      <c r="CJ101" s="815"/>
      <c r="CK101" s="815"/>
      <c r="CL101" s="815"/>
      <c r="CM101" s="815"/>
      <c r="CN101" s="815"/>
      <c r="CO101" s="815"/>
      <c r="CP101" s="815"/>
    </row>
    <row r="102" spans="1:94" ht="11.25">
      <c r="A102" s="815"/>
      <c r="B102" s="815"/>
      <c r="C102" s="815"/>
      <c r="D102" s="815"/>
      <c r="E102" s="815"/>
      <c r="F102" s="815"/>
      <c r="G102" s="815"/>
      <c r="H102" s="815"/>
      <c r="I102" s="815"/>
      <c r="J102" s="815"/>
      <c r="K102" s="815"/>
      <c r="L102" s="815"/>
      <c r="M102" s="815"/>
      <c r="N102" s="815"/>
      <c r="O102" s="815"/>
      <c r="P102" s="815"/>
      <c r="Q102" s="815"/>
      <c r="R102" s="815"/>
      <c r="S102" s="815"/>
      <c r="T102" s="815"/>
      <c r="U102" s="815"/>
      <c r="V102" s="815"/>
      <c r="W102" s="815"/>
      <c r="X102" s="815"/>
      <c r="Y102" s="815"/>
      <c r="Z102" s="815"/>
      <c r="AA102" s="815"/>
      <c r="AB102" s="815"/>
      <c r="AC102" s="815"/>
      <c r="AD102" s="815"/>
      <c r="AE102" s="815"/>
      <c r="AF102" s="815"/>
      <c r="AG102" s="815"/>
      <c r="AH102" s="815"/>
      <c r="AI102" s="815"/>
      <c r="AJ102" s="815"/>
      <c r="AK102" s="815"/>
      <c r="AL102" s="815"/>
      <c r="AM102" s="815"/>
      <c r="AN102" s="815"/>
      <c r="AO102" s="815"/>
      <c r="AP102" s="815"/>
      <c r="AQ102" s="815"/>
      <c r="AR102" s="815"/>
      <c r="AS102" s="815"/>
      <c r="AT102" s="815"/>
      <c r="AU102" s="815"/>
      <c r="AV102" s="815"/>
      <c r="AW102" s="815"/>
      <c r="AX102" s="815"/>
      <c r="AY102" s="815"/>
      <c r="AZ102" s="815"/>
      <c r="BA102" s="815"/>
      <c r="BB102" s="815"/>
      <c r="BC102" s="815"/>
      <c r="BD102" s="815"/>
      <c r="BE102" s="815"/>
      <c r="BF102" s="815"/>
      <c r="BG102" s="815"/>
      <c r="BH102" s="815"/>
      <c r="BI102" s="815"/>
      <c r="BJ102" s="815"/>
      <c r="BK102" s="815"/>
      <c r="BL102" s="815"/>
      <c r="BM102" s="815"/>
      <c r="BN102" s="815"/>
      <c r="BO102" s="815"/>
      <c r="BP102" s="815"/>
      <c r="BQ102" s="815"/>
      <c r="BR102" s="815"/>
      <c r="BS102" s="815"/>
      <c r="BT102" s="815"/>
      <c r="BU102" s="815"/>
      <c r="BV102" s="815"/>
      <c r="BW102" s="815"/>
      <c r="BX102" s="815"/>
      <c r="BY102" s="815"/>
      <c r="BZ102" s="815"/>
      <c r="CA102" s="815"/>
      <c r="CB102" s="815"/>
      <c r="CC102" s="815"/>
      <c r="CD102" s="815"/>
      <c r="CE102" s="815"/>
      <c r="CF102" s="815"/>
      <c r="CG102" s="815"/>
      <c r="CH102" s="815"/>
      <c r="CI102" s="815"/>
      <c r="CJ102" s="815"/>
      <c r="CK102" s="815"/>
      <c r="CL102" s="815"/>
      <c r="CM102" s="815"/>
      <c r="CN102" s="815"/>
      <c r="CO102" s="815"/>
      <c r="CP102" s="815"/>
    </row>
    <row r="103" spans="1:94" ht="11.25">
      <c r="A103" s="815"/>
      <c r="B103" s="815"/>
      <c r="C103" s="815"/>
      <c r="D103" s="815"/>
      <c r="E103" s="815"/>
      <c r="F103" s="815"/>
      <c r="G103" s="815"/>
      <c r="H103" s="815"/>
      <c r="I103" s="815"/>
      <c r="J103" s="815"/>
      <c r="K103" s="815"/>
      <c r="L103" s="815"/>
      <c r="M103" s="815"/>
      <c r="N103" s="815"/>
      <c r="O103" s="815"/>
      <c r="P103" s="815"/>
      <c r="Q103" s="815"/>
      <c r="R103" s="815"/>
      <c r="S103" s="815"/>
      <c r="T103" s="815"/>
      <c r="U103" s="815"/>
      <c r="V103" s="815"/>
      <c r="W103" s="815"/>
      <c r="X103" s="815"/>
      <c r="Y103" s="815"/>
      <c r="Z103" s="815"/>
      <c r="AA103" s="815"/>
      <c r="AB103" s="815"/>
      <c r="AC103" s="815"/>
      <c r="AD103" s="815"/>
      <c r="AE103" s="815"/>
      <c r="AF103" s="815"/>
      <c r="AG103" s="815"/>
      <c r="AH103" s="815"/>
      <c r="AI103" s="815"/>
      <c r="AJ103" s="815"/>
      <c r="AK103" s="815"/>
      <c r="AL103" s="815"/>
      <c r="AM103" s="815"/>
      <c r="AN103" s="815"/>
      <c r="AO103" s="815"/>
      <c r="AP103" s="815"/>
      <c r="AQ103" s="815"/>
      <c r="AR103" s="815"/>
      <c r="AS103" s="815"/>
      <c r="AT103" s="815"/>
      <c r="AU103" s="815"/>
      <c r="AV103" s="815"/>
      <c r="AW103" s="815"/>
      <c r="AX103" s="815"/>
      <c r="AY103" s="815"/>
      <c r="AZ103" s="815"/>
      <c r="BA103" s="815"/>
      <c r="BB103" s="815"/>
      <c r="BC103" s="815"/>
      <c r="BD103" s="815"/>
      <c r="BE103" s="815"/>
      <c r="BF103" s="815"/>
      <c r="BG103" s="815"/>
      <c r="BH103" s="815"/>
      <c r="BI103" s="815"/>
      <c r="BJ103" s="815"/>
      <c r="BK103" s="815"/>
      <c r="BL103" s="815"/>
      <c r="BM103" s="815"/>
      <c r="BN103" s="815"/>
      <c r="BO103" s="815"/>
      <c r="BP103" s="815"/>
      <c r="BQ103" s="815"/>
      <c r="BR103" s="815"/>
      <c r="BS103" s="815"/>
      <c r="BT103" s="815"/>
      <c r="BU103" s="815"/>
      <c r="BV103" s="815"/>
      <c r="BW103" s="815"/>
      <c r="BX103" s="815"/>
      <c r="BY103" s="815"/>
      <c r="BZ103" s="815"/>
      <c r="CA103" s="815"/>
      <c r="CB103" s="815"/>
      <c r="CC103" s="815"/>
      <c r="CD103" s="815"/>
      <c r="CE103" s="815"/>
      <c r="CF103" s="815"/>
      <c r="CG103" s="815"/>
      <c r="CH103" s="815"/>
      <c r="CI103" s="815"/>
      <c r="CJ103" s="815"/>
      <c r="CK103" s="815"/>
      <c r="CL103" s="815"/>
      <c r="CM103" s="815"/>
      <c r="CN103" s="815"/>
      <c r="CO103" s="815"/>
      <c r="CP103" s="815"/>
    </row>
    <row r="104" spans="1:8" ht="11.25">
      <c r="A104" s="815"/>
      <c r="B104" s="815"/>
      <c r="C104" s="815"/>
      <c r="D104" s="815"/>
      <c r="E104" s="815"/>
      <c r="F104" s="815"/>
      <c r="G104" s="815"/>
      <c r="H104" s="873"/>
    </row>
    <row r="105" spans="1:8" ht="11.25">
      <c r="A105" s="815"/>
      <c r="B105" s="815"/>
      <c r="C105" s="815"/>
      <c r="D105" s="815"/>
      <c r="E105" s="815"/>
      <c r="F105" s="815"/>
      <c r="G105" s="815"/>
      <c r="H105" s="873"/>
    </row>
    <row r="106" spans="1:8" ht="11.25">
      <c r="A106" s="815"/>
      <c r="B106" s="815"/>
      <c r="C106" s="815"/>
      <c r="D106" s="815"/>
      <c r="E106" s="815"/>
      <c r="F106" s="815"/>
      <c r="G106" s="815"/>
      <c r="H106" s="873"/>
    </row>
    <row r="107" spans="1:8" ht="11.25">
      <c r="A107" s="815"/>
      <c r="B107" s="815"/>
      <c r="C107" s="815"/>
      <c r="D107" s="815"/>
      <c r="E107" s="815"/>
      <c r="F107" s="815"/>
      <c r="G107" s="815"/>
      <c r="H107" s="873"/>
    </row>
    <row r="108" spans="1:8" ht="11.25">
      <c r="A108" s="815"/>
      <c r="B108" s="815"/>
      <c r="C108" s="815"/>
      <c r="D108" s="815"/>
      <c r="E108" s="815"/>
      <c r="F108" s="815"/>
      <c r="G108" s="815"/>
      <c r="H108" s="873"/>
    </row>
    <row r="109" spans="1:8" ht="11.25">
      <c r="A109" s="815"/>
      <c r="B109" s="815"/>
      <c r="C109" s="815"/>
      <c r="D109" s="815"/>
      <c r="E109" s="815"/>
      <c r="F109" s="815"/>
      <c r="G109" s="815"/>
      <c r="H109" s="873"/>
    </row>
    <row r="110" spans="1:8" ht="11.25">
      <c r="A110" s="815"/>
      <c r="B110" s="815"/>
      <c r="C110" s="815"/>
      <c r="D110" s="815"/>
      <c r="E110" s="815"/>
      <c r="F110" s="815"/>
      <c r="G110" s="815"/>
      <c r="H110" s="873"/>
    </row>
    <row r="111" spans="1:8" ht="11.25">
      <c r="A111" s="815"/>
      <c r="B111" s="815"/>
      <c r="C111" s="815"/>
      <c r="D111" s="815"/>
      <c r="E111" s="815"/>
      <c r="F111" s="815"/>
      <c r="G111" s="815"/>
      <c r="H111" s="873"/>
    </row>
    <row r="112" spans="1:8" ht="11.25">
      <c r="A112" s="815"/>
      <c r="B112" s="815"/>
      <c r="C112" s="815"/>
      <c r="D112" s="815"/>
      <c r="E112" s="815"/>
      <c r="F112" s="815"/>
      <c r="G112" s="815"/>
      <c r="H112" s="873"/>
    </row>
    <row r="113" spans="1:8" ht="11.25">
      <c r="A113" s="815"/>
      <c r="B113" s="815"/>
      <c r="C113" s="815"/>
      <c r="D113" s="815"/>
      <c r="E113" s="815"/>
      <c r="F113" s="815"/>
      <c r="G113" s="815"/>
      <c r="H113" s="873"/>
    </row>
    <row r="114" spans="1:8" ht="11.25">
      <c r="A114" s="815"/>
      <c r="B114" s="815"/>
      <c r="C114" s="815"/>
      <c r="D114" s="815"/>
      <c r="E114" s="815"/>
      <c r="F114" s="815"/>
      <c r="G114" s="815"/>
      <c r="H114" s="873"/>
    </row>
    <row r="115" spans="1:8" ht="11.25">
      <c r="A115" s="815"/>
      <c r="B115" s="815"/>
      <c r="C115" s="815"/>
      <c r="D115" s="815"/>
      <c r="E115" s="815"/>
      <c r="F115" s="815"/>
      <c r="G115" s="815"/>
      <c r="H115" s="873"/>
    </row>
    <row r="116" spans="1:8" ht="11.25">
      <c r="A116" s="815"/>
      <c r="B116" s="815"/>
      <c r="C116" s="815"/>
      <c r="D116" s="815"/>
      <c r="E116" s="815"/>
      <c r="F116" s="815"/>
      <c r="G116" s="815"/>
      <c r="H116" s="873"/>
    </row>
    <row r="117" spans="1:8" ht="11.25">
      <c r="A117" s="815"/>
      <c r="B117" s="815"/>
      <c r="C117" s="815"/>
      <c r="D117" s="815"/>
      <c r="E117" s="815"/>
      <c r="F117" s="815"/>
      <c r="G117" s="815"/>
      <c r="H117" s="873"/>
    </row>
    <row r="118" spans="1:8" ht="11.25">
      <c r="A118" s="815"/>
      <c r="B118" s="815"/>
      <c r="C118" s="815"/>
      <c r="D118" s="815"/>
      <c r="E118" s="815"/>
      <c r="F118" s="815"/>
      <c r="G118" s="815"/>
      <c r="H118" s="873"/>
    </row>
    <row r="119" spans="1:8" ht="11.25">
      <c r="A119" s="815"/>
      <c r="B119" s="815"/>
      <c r="C119" s="815"/>
      <c r="D119" s="815"/>
      <c r="E119" s="815"/>
      <c r="F119" s="815"/>
      <c r="G119" s="815"/>
      <c r="H119" s="873"/>
    </row>
    <row r="120" spans="1:8" ht="11.25">
      <c r="A120" s="815"/>
      <c r="B120" s="815"/>
      <c r="C120" s="815"/>
      <c r="D120" s="815"/>
      <c r="E120" s="815"/>
      <c r="F120" s="815"/>
      <c r="G120" s="815"/>
      <c r="H120" s="873"/>
    </row>
    <row r="121" spans="1:8" ht="11.25">
      <c r="A121" s="815"/>
      <c r="B121" s="815"/>
      <c r="C121" s="815"/>
      <c r="D121" s="815"/>
      <c r="E121" s="815"/>
      <c r="F121" s="815"/>
      <c r="G121" s="815"/>
      <c r="H121" s="873"/>
    </row>
    <row r="122" spans="1:8" ht="11.25">
      <c r="A122" s="815"/>
      <c r="B122" s="815"/>
      <c r="C122" s="815"/>
      <c r="D122" s="815"/>
      <c r="E122" s="815"/>
      <c r="F122" s="815"/>
      <c r="G122" s="815"/>
      <c r="H122" s="873"/>
    </row>
    <row r="123" spans="1:8" ht="11.25">
      <c r="A123" s="815"/>
      <c r="B123" s="815"/>
      <c r="C123" s="815"/>
      <c r="D123" s="815"/>
      <c r="E123" s="815"/>
      <c r="F123" s="815"/>
      <c r="G123" s="815"/>
      <c r="H123" s="873"/>
    </row>
    <row r="124" spans="1:8" ht="11.25">
      <c r="A124" s="815"/>
      <c r="B124" s="815"/>
      <c r="C124" s="815"/>
      <c r="D124" s="815"/>
      <c r="E124" s="815"/>
      <c r="F124" s="815"/>
      <c r="G124" s="815"/>
      <c r="H124" s="873"/>
    </row>
    <row r="125" spans="1:8" ht="11.25">
      <c r="A125" s="815"/>
      <c r="B125" s="815"/>
      <c r="C125" s="815"/>
      <c r="D125" s="815"/>
      <c r="E125" s="815"/>
      <c r="F125" s="815"/>
      <c r="G125" s="815"/>
      <c r="H125" s="873"/>
    </row>
    <row r="126" spans="1:8" ht="11.25">
      <c r="A126" s="815"/>
      <c r="B126" s="815"/>
      <c r="C126" s="815"/>
      <c r="D126" s="815"/>
      <c r="E126" s="815"/>
      <c r="F126" s="815"/>
      <c r="G126" s="815"/>
      <c r="H126" s="873"/>
    </row>
    <row r="127" spans="1:8" ht="11.25">
      <c r="A127" s="815"/>
      <c r="B127" s="815"/>
      <c r="C127" s="815"/>
      <c r="D127" s="815"/>
      <c r="E127" s="815"/>
      <c r="F127" s="815"/>
      <c r="G127" s="815"/>
      <c r="H127" s="873"/>
    </row>
    <row r="128" spans="1:8" ht="11.25">
      <c r="A128" s="815"/>
      <c r="B128" s="815"/>
      <c r="C128" s="815"/>
      <c r="D128" s="815"/>
      <c r="E128" s="815"/>
      <c r="F128" s="815"/>
      <c r="G128" s="815"/>
      <c r="H128" s="873"/>
    </row>
    <row r="129" spans="1:8" ht="11.25">
      <c r="A129" s="815"/>
      <c r="B129" s="815"/>
      <c r="C129" s="815"/>
      <c r="D129" s="815"/>
      <c r="E129" s="815"/>
      <c r="F129" s="815"/>
      <c r="G129" s="815"/>
      <c r="H129" s="873"/>
    </row>
    <row r="130" spans="1:8" ht="11.25">
      <c r="A130" s="815"/>
      <c r="B130" s="815"/>
      <c r="C130" s="815"/>
      <c r="D130" s="815"/>
      <c r="E130" s="815"/>
      <c r="F130" s="815"/>
      <c r="G130" s="815"/>
      <c r="H130" s="873"/>
    </row>
    <row r="131" spans="1:8" ht="11.25">
      <c r="A131" s="815"/>
      <c r="B131" s="815"/>
      <c r="C131" s="815"/>
      <c r="D131" s="815"/>
      <c r="E131" s="815"/>
      <c r="F131" s="815"/>
      <c r="G131" s="815"/>
      <c r="H131" s="873"/>
    </row>
    <row r="132" spans="1:8" ht="11.25">
      <c r="A132" s="815"/>
      <c r="B132" s="815"/>
      <c r="C132" s="815"/>
      <c r="D132" s="815"/>
      <c r="E132" s="815"/>
      <c r="F132" s="815"/>
      <c r="G132" s="815"/>
      <c r="H132" s="873"/>
    </row>
    <row r="133" spans="1:8" ht="11.25">
      <c r="A133" s="815"/>
      <c r="B133" s="815"/>
      <c r="C133" s="815"/>
      <c r="D133" s="815"/>
      <c r="E133" s="815"/>
      <c r="F133" s="815"/>
      <c r="G133" s="815"/>
      <c r="H133" s="873"/>
    </row>
    <row r="134" spans="1:8" ht="11.25">
      <c r="A134" s="815"/>
      <c r="B134" s="815"/>
      <c r="C134" s="815"/>
      <c r="D134" s="815"/>
      <c r="E134" s="815"/>
      <c r="F134" s="815"/>
      <c r="G134" s="815"/>
      <c r="H134" s="873"/>
    </row>
    <row r="135" spans="1:8" ht="11.25">
      <c r="A135" s="815"/>
      <c r="B135" s="815"/>
      <c r="C135" s="815"/>
      <c r="D135" s="815"/>
      <c r="E135" s="815"/>
      <c r="F135" s="815"/>
      <c r="G135" s="815"/>
      <c r="H135" s="873"/>
    </row>
    <row r="136" spans="1:8" ht="11.25">
      <c r="A136" s="815"/>
      <c r="B136" s="815"/>
      <c r="C136" s="815"/>
      <c r="D136" s="815"/>
      <c r="E136" s="815"/>
      <c r="F136" s="815"/>
      <c r="G136" s="815"/>
      <c r="H136" s="873"/>
    </row>
    <row r="137" spans="1:8" ht="11.25">
      <c r="A137" s="815"/>
      <c r="B137" s="815"/>
      <c r="C137" s="815"/>
      <c r="D137" s="815"/>
      <c r="E137" s="815"/>
      <c r="F137" s="815"/>
      <c r="G137" s="815"/>
      <c r="H137" s="873"/>
    </row>
    <row r="138" spans="1:8" ht="11.25">
      <c r="A138" s="815"/>
      <c r="B138" s="815"/>
      <c r="C138" s="815"/>
      <c r="D138" s="815"/>
      <c r="E138" s="815"/>
      <c r="F138" s="815"/>
      <c r="G138" s="815"/>
      <c r="H138" s="873"/>
    </row>
    <row r="139" spans="1:8" ht="11.25">
      <c r="A139" s="815"/>
      <c r="B139" s="815"/>
      <c r="C139" s="815"/>
      <c r="D139" s="815"/>
      <c r="E139" s="815"/>
      <c r="F139" s="815"/>
      <c r="G139" s="815"/>
      <c r="H139" s="873"/>
    </row>
    <row r="140" spans="1:8" ht="11.25">
      <c r="A140" s="815"/>
      <c r="B140" s="815"/>
      <c r="C140" s="815"/>
      <c r="D140" s="815"/>
      <c r="E140" s="815"/>
      <c r="F140" s="815"/>
      <c r="G140" s="815"/>
      <c r="H140" s="873"/>
    </row>
    <row r="141" spans="1:8" ht="11.25">
      <c r="A141" s="815"/>
      <c r="B141" s="815"/>
      <c r="C141" s="815"/>
      <c r="D141" s="815"/>
      <c r="E141" s="815"/>
      <c r="F141" s="815"/>
      <c r="G141" s="815"/>
      <c r="H141" s="873"/>
    </row>
    <row r="142" spans="1:8" ht="11.25">
      <c r="A142" s="815"/>
      <c r="B142" s="815"/>
      <c r="C142" s="815"/>
      <c r="D142" s="815"/>
      <c r="E142" s="815"/>
      <c r="F142" s="815"/>
      <c r="G142" s="815"/>
      <c r="H142" s="873"/>
    </row>
    <row r="143" spans="1:8" ht="11.25">
      <c r="A143" s="815"/>
      <c r="B143" s="815"/>
      <c r="C143" s="815"/>
      <c r="D143" s="815"/>
      <c r="E143" s="815"/>
      <c r="F143" s="815"/>
      <c r="G143" s="815"/>
      <c r="H143" s="873"/>
    </row>
    <row r="144" spans="1:8" ht="11.25">
      <c r="A144" s="815"/>
      <c r="B144" s="815"/>
      <c r="C144" s="815"/>
      <c r="D144" s="815"/>
      <c r="E144" s="815"/>
      <c r="F144" s="815"/>
      <c r="G144" s="815"/>
      <c r="H144" s="873"/>
    </row>
    <row r="145" spans="1:8" ht="11.25">
      <c r="A145" s="815"/>
      <c r="B145" s="815"/>
      <c r="C145" s="815"/>
      <c r="D145" s="815"/>
      <c r="E145" s="815"/>
      <c r="F145" s="815"/>
      <c r="G145" s="815"/>
      <c r="H145" s="873"/>
    </row>
    <row r="146" spans="1:8" ht="11.25">
      <c r="A146" s="815"/>
      <c r="B146" s="815"/>
      <c r="C146" s="815"/>
      <c r="D146" s="815"/>
      <c r="E146" s="815"/>
      <c r="F146" s="815"/>
      <c r="G146" s="815"/>
      <c r="H146" s="873"/>
    </row>
    <row r="147" spans="1:8" ht="11.25">
      <c r="A147" s="815"/>
      <c r="B147" s="815"/>
      <c r="C147" s="815"/>
      <c r="D147" s="815"/>
      <c r="E147" s="815"/>
      <c r="F147" s="815"/>
      <c r="G147" s="815"/>
      <c r="H147" s="873"/>
    </row>
    <row r="148" spans="1:8" ht="11.25">
      <c r="A148" s="815"/>
      <c r="B148" s="815"/>
      <c r="C148" s="815"/>
      <c r="D148" s="815"/>
      <c r="E148" s="815"/>
      <c r="F148" s="815"/>
      <c r="G148" s="815"/>
      <c r="H148" s="873"/>
    </row>
    <row r="149" spans="1:8" ht="11.25">
      <c r="A149" s="815"/>
      <c r="B149" s="815"/>
      <c r="C149" s="815"/>
      <c r="D149" s="815"/>
      <c r="E149" s="815"/>
      <c r="F149" s="815"/>
      <c r="G149" s="815"/>
      <c r="H149" s="873"/>
    </row>
    <row r="150" spans="1:8" ht="11.25">
      <c r="A150" s="815"/>
      <c r="B150" s="815"/>
      <c r="C150" s="815"/>
      <c r="D150" s="815"/>
      <c r="E150" s="815"/>
      <c r="F150" s="815"/>
      <c r="G150" s="815"/>
      <c r="H150" s="873"/>
    </row>
    <row r="151" spans="1:8" ht="11.25">
      <c r="A151" s="815"/>
      <c r="B151" s="815"/>
      <c r="C151" s="815"/>
      <c r="D151" s="815"/>
      <c r="E151" s="815"/>
      <c r="F151" s="815"/>
      <c r="G151" s="815"/>
      <c r="H151" s="873"/>
    </row>
    <row r="152" spans="1:8" ht="11.25">
      <c r="A152" s="815"/>
      <c r="B152" s="815"/>
      <c r="C152" s="815"/>
      <c r="D152" s="815"/>
      <c r="E152" s="815"/>
      <c r="F152" s="815"/>
      <c r="G152" s="815"/>
      <c r="H152" s="873"/>
    </row>
    <row r="153" spans="1:8" ht="11.25">
      <c r="A153" s="815"/>
      <c r="B153" s="815"/>
      <c r="C153" s="815"/>
      <c r="D153" s="815"/>
      <c r="E153" s="815"/>
      <c r="F153" s="815"/>
      <c r="G153" s="815"/>
      <c r="H153" s="873"/>
    </row>
    <row r="154" spans="1:8" ht="11.25">
      <c r="A154" s="815"/>
      <c r="B154" s="815"/>
      <c r="C154" s="815"/>
      <c r="D154" s="815"/>
      <c r="E154" s="815"/>
      <c r="F154" s="815"/>
      <c r="G154" s="815"/>
      <c r="H154" s="873"/>
    </row>
    <row r="155" spans="1:8" ht="11.25">
      <c r="A155" s="815"/>
      <c r="B155" s="815"/>
      <c r="C155" s="815"/>
      <c r="D155" s="815"/>
      <c r="E155" s="815"/>
      <c r="F155" s="815"/>
      <c r="G155" s="815"/>
      <c r="H155" s="873"/>
    </row>
    <row r="156" spans="1:8" ht="11.25">
      <c r="A156" s="815"/>
      <c r="B156" s="815"/>
      <c r="C156" s="815"/>
      <c r="D156" s="815"/>
      <c r="E156" s="815"/>
      <c r="F156" s="815"/>
      <c r="G156" s="815"/>
      <c r="H156" s="873"/>
    </row>
    <row r="157" spans="1:8" ht="11.25">
      <c r="A157" s="815"/>
      <c r="B157" s="815"/>
      <c r="C157" s="815"/>
      <c r="D157" s="815"/>
      <c r="E157" s="815"/>
      <c r="F157" s="815"/>
      <c r="G157" s="815"/>
      <c r="H157" s="873"/>
    </row>
    <row r="158" spans="1:8" ht="11.25">
      <c r="A158" s="815"/>
      <c r="B158" s="815"/>
      <c r="C158" s="815"/>
      <c r="D158" s="815"/>
      <c r="E158" s="815"/>
      <c r="F158" s="815"/>
      <c r="G158" s="815"/>
      <c r="H158" s="873"/>
    </row>
    <row r="159" spans="1:8" ht="11.25">
      <c r="A159" s="815"/>
      <c r="B159" s="815"/>
      <c r="C159" s="815"/>
      <c r="D159" s="815"/>
      <c r="E159" s="815"/>
      <c r="F159" s="815"/>
      <c r="G159" s="815"/>
      <c r="H159" s="873"/>
    </row>
    <row r="160" spans="1:8" ht="11.25">
      <c r="A160" s="815"/>
      <c r="B160" s="815"/>
      <c r="C160" s="815"/>
      <c r="D160" s="815"/>
      <c r="E160" s="815"/>
      <c r="F160" s="815"/>
      <c r="G160" s="815"/>
      <c r="H160" s="873"/>
    </row>
    <row r="161" spans="1:8" ht="11.25">
      <c r="A161" s="815"/>
      <c r="B161" s="815"/>
      <c r="C161" s="815"/>
      <c r="D161" s="815"/>
      <c r="E161" s="815"/>
      <c r="F161" s="815"/>
      <c r="G161" s="815"/>
      <c r="H161" s="873"/>
    </row>
    <row r="162" spans="1:8" ht="11.25">
      <c r="A162" s="815"/>
      <c r="B162" s="815"/>
      <c r="C162" s="815"/>
      <c r="D162" s="815"/>
      <c r="E162" s="815"/>
      <c r="F162" s="815"/>
      <c r="G162" s="815"/>
      <c r="H162" s="873"/>
    </row>
    <row r="163" spans="1:8" ht="11.25">
      <c r="A163" s="815"/>
      <c r="B163" s="815"/>
      <c r="C163" s="815"/>
      <c r="D163" s="815"/>
      <c r="E163" s="815"/>
      <c r="F163" s="815"/>
      <c r="G163" s="815"/>
      <c r="H163" s="873"/>
    </row>
    <row r="164" spans="1:8" ht="11.25">
      <c r="A164" s="815"/>
      <c r="B164" s="815"/>
      <c r="C164" s="815"/>
      <c r="D164" s="815"/>
      <c r="E164" s="815"/>
      <c r="F164" s="815"/>
      <c r="G164" s="815"/>
      <c r="H164" s="873"/>
    </row>
    <row r="165" spans="1:8" ht="11.25">
      <c r="A165" s="815"/>
      <c r="B165" s="815"/>
      <c r="C165" s="815"/>
      <c r="D165" s="815"/>
      <c r="E165" s="815"/>
      <c r="F165" s="815"/>
      <c r="G165" s="815"/>
      <c r="H165" s="873"/>
    </row>
    <row r="166" spans="1:8" ht="11.25">
      <c r="A166" s="815"/>
      <c r="B166" s="815"/>
      <c r="C166" s="815"/>
      <c r="D166" s="815"/>
      <c r="E166" s="815"/>
      <c r="F166" s="815"/>
      <c r="G166" s="815"/>
      <c r="H166" s="873"/>
    </row>
    <row r="167" spans="1:8" ht="11.25">
      <c r="A167" s="815"/>
      <c r="B167" s="815"/>
      <c r="C167" s="815"/>
      <c r="D167" s="815"/>
      <c r="E167" s="815"/>
      <c r="F167" s="815"/>
      <c r="G167" s="815"/>
      <c r="H167" s="873"/>
    </row>
    <row r="168" spans="1:8" ht="11.25">
      <c r="A168" s="815"/>
      <c r="B168" s="815"/>
      <c r="C168" s="815"/>
      <c r="D168" s="815"/>
      <c r="E168" s="815"/>
      <c r="F168" s="815"/>
      <c r="G168" s="815"/>
      <c r="H168" s="873"/>
    </row>
    <row r="169" spans="1:8" ht="11.25">
      <c r="A169" s="815"/>
      <c r="B169" s="815"/>
      <c r="C169" s="815"/>
      <c r="D169" s="815"/>
      <c r="E169" s="815"/>
      <c r="F169" s="815"/>
      <c r="G169" s="815"/>
      <c r="H169" s="873"/>
    </row>
    <row r="170" spans="1:8" ht="11.25">
      <c r="A170" s="815"/>
      <c r="B170" s="815"/>
      <c r="C170" s="815"/>
      <c r="D170" s="815"/>
      <c r="E170" s="815"/>
      <c r="F170" s="815"/>
      <c r="G170" s="815"/>
      <c r="H170" s="873"/>
    </row>
    <row r="171" spans="1:8" ht="11.25">
      <c r="A171" s="815"/>
      <c r="B171" s="815"/>
      <c r="C171" s="815"/>
      <c r="D171" s="815"/>
      <c r="E171" s="815"/>
      <c r="F171" s="815"/>
      <c r="G171" s="815"/>
      <c r="H171" s="873"/>
    </row>
    <row r="172" spans="1:8" ht="11.25">
      <c r="A172" s="815"/>
      <c r="B172" s="815"/>
      <c r="C172" s="815"/>
      <c r="D172" s="815"/>
      <c r="E172" s="815"/>
      <c r="F172" s="815"/>
      <c r="G172" s="815"/>
      <c r="H172" s="873"/>
    </row>
    <row r="173" spans="1:8" ht="11.25">
      <c r="A173" s="815"/>
      <c r="B173" s="815"/>
      <c r="C173" s="815"/>
      <c r="D173" s="815"/>
      <c r="E173" s="815"/>
      <c r="F173" s="815"/>
      <c r="G173" s="815"/>
      <c r="H173" s="873"/>
    </row>
    <row r="174" spans="1:8" ht="11.25">
      <c r="A174" s="815"/>
      <c r="B174" s="815"/>
      <c r="C174" s="815"/>
      <c r="D174" s="815"/>
      <c r="E174" s="815"/>
      <c r="F174" s="815"/>
      <c r="G174" s="815"/>
      <c r="H174" s="873"/>
    </row>
    <row r="175" spans="1:8" ht="11.25">
      <c r="A175" s="815"/>
      <c r="B175" s="815"/>
      <c r="C175" s="815"/>
      <c r="D175" s="815"/>
      <c r="E175" s="815"/>
      <c r="F175" s="815"/>
      <c r="G175" s="815"/>
      <c r="H175" s="873"/>
    </row>
    <row r="176" spans="1:8" ht="11.25">
      <c r="A176" s="815"/>
      <c r="B176" s="815"/>
      <c r="C176" s="815"/>
      <c r="D176" s="815"/>
      <c r="E176" s="815"/>
      <c r="F176" s="815"/>
      <c r="G176" s="815"/>
      <c r="H176" s="873"/>
    </row>
    <row r="177" spans="1:8" ht="11.25">
      <c r="A177" s="815"/>
      <c r="B177" s="815"/>
      <c r="C177" s="815"/>
      <c r="D177" s="815"/>
      <c r="E177" s="815"/>
      <c r="F177" s="815"/>
      <c r="G177" s="815"/>
      <c r="H177" s="873"/>
    </row>
    <row r="178" spans="1:8" ht="11.25">
      <c r="A178" s="815"/>
      <c r="B178" s="815"/>
      <c r="C178" s="815"/>
      <c r="D178" s="815"/>
      <c r="E178" s="815"/>
      <c r="F178" s="815"/>
      <c r="G178" s="815"/>
      <c r="H178" s="873"/>
    </row>
    <row r="179" spans="1:8" ht="11.25">
      <c r="A179" s="815"/>
      <c r="B179" s="815"/>
      <c r="C179" s="815"/>
      <c r="D179" s="815"/>
      <c r="E179" s="815"/>
      <c r="F179" s="815"/>
      <c r="G179" s="815"/>
      <c r="H179" s="873"/>
    </row>
    <row r="180" spans="1:8" ht="11.25">
      <c r="A180" s="815"/>
      <c r="B180" s="815"/>
      <c r="C180" s="815"/>
      <c r="D180" s="815"/>
      <c r="E180" s="815"/>
      <c r="F180" s="815"/>
      <c r="G180" s="815"/>
      <c r="H180" s="873"/>
    </row>
    <row r="181" spans="1:8" ht="11.25">
      <c r="A181" s="815"/>
      <c r="B181" s="815"/>
      <c r="C181" s="815"/>
      <c r="D181" s="815"/>
      <c r="E181" s="815"/>
      <c r="F181" s="815"/>
      <c r="G181" s="815"/>
      <c r="H181" s="873"/>
    </row>
    <row r="182" spans="1:8" ht="11.25">
      <c r="A182" s="815"/>
      <c r="B182" s="815"/>
      <c r="C182" s="815"/>
      <c r="D182" s="815"/>
      <c r="E182" s="815"/>
      <c r="F182" s="815"/>
      <c r="G182" s="815"/>
      <c r="H182" s="873"/>
    </row>
    <row r="183" spans="1:8" ht="11.25">
      <c r="A183" s="815"/>
      <c r="B183" s="815"/>
      <c r="C183" s="815"/>
      <c r="D183" s="815"/>
      <c r="E183" s="815"/>
      <c r="F183" s="815"/>
      <c r="G183" s="815"/>
      <c r="H183" s="873"/>
    </row>
    <row r="184" spans="1:8" ht="11.25">
      <c r="A184" s="815"/>
      <c r="B184" s="815"/>
      <c r="C184" s="815"/>
      <c r="D184" s="815"/>
      <c r="E184" s="815"/>
      <c r="F184" s="815"/>
      <c r="G184" s="815"/>
      <c r="H184" s="873"/>
    </row>
    <row r="185" spans="1:8" ht="11.25">
      <c r="A185" s="815"/>
      <c r="B185" s="815"/>
      <c r="C185" s="815"/>
      <c r="D185" s="815"/>
      <c r="E185" s="815"/>
      <c r="F185" s="815"/>
      <c r="G185" s="815"/>
      <c r="H185" s="873"/>
    </row>
    <row r="186" spans="1:10" ht="11.25">
      <c r="A186" s="815"/>
      <c r="B186" s="815"/>
      <c r="C186" s="815"/>
      <c r="D186" s="815"/>
      <c r="E186" s="815"/>
      <c r="F186" s="815"/>
      <c r="G186" s="815"/>
      <c r="H186" s="874"/>
      <c r="I186" s="816"/>
      <c r="J186" s="816"/>
    </row>
    <row r="187" spans="1:11" ht="11.25">
      <c r="A187" s="815"/>
      <c r="B187" s="815"/>
      <c r="C187" s="815"/>
      <c r="D187" s="815"/>
      <c r="E187" s="815"/>
      <c r="F187" s="815"/>
      <c r="G187" s="815"/>
      <c r="H187" s="815"/>
      <c r="I187" s="815"/>
      <c r="J187" s="815"/>
      <c r="K187" s="873"/>
    </row>
    <row r="188" spans="1:11" ht="11.25">
      <c r="A188" s="815"/>
      <c r="B188" s="815"/>
      <c r="C188" s="815"/>
      <c r="D188" s="815"/>
      <c r="E188" s="815"/>
      <c r="F188" s="815"/>
      <c r="G188" s="815"/>
      <c r="H188" s="815"/>
      <c r="I188" s="815"/>
      <c r="J188" s="815"/>
      <c r="K188" s="873"/>
    </row>
    <row r="189" spans="1:11" ht="11.25">
      <c r="A189" s="815"/>
      <c r="B189" s="815"/>
      <c r="C189" s="815"/>
      <c r="D189" s="815"/>
      <c r="E189" s="815"/>
      <c r="F189" s="815"/>
      <c r="G189" s="815"/>
      <c r="H189" s="815"/>
      <c r="I189" s="815"/>
      <c r="J189" s="815"/>
      <c r="K189" s="873"/>
    </row>
    <row r="190" spans="1:11" ht="11.25">
      <c r="A190" s="815"/>
      <c r="B190" s="815"/>
      <c r="C190" s="815"/>
      <c r="D190" s="815"/>
      <c r="E190" s="815"/>
      <c r="F190" s="815"/>
      <c r="G190" s="815"/>
      <c r="H190" s="815"/>
      <c r="I190" s="815"/>
      <c r="J190" s="815"/>
      <c r="K190" s="873"/>
    </row>
    <row r="191" spans="1:11" ht="11.25">
      <c r="A191" s="815"/>
      <c r="B191" s="815"/>
      <c r="C191" s="815"/>
      <c r="D191" s="815"/>
      <c r="E191" s="815"/>
      <c r="F191" s="815"/>
      <c r="G191" s="815"/>
      <c r="H191" s="815"/>
      <c r="I191" s="815"/>
      <c r="J191" s="815"/>
      <c r="K191" s="873"/>
    </row>
    <row r="192" spans="1:11" ht="11.25">
      <c r="A192" s="815"/>
      <c r="B192" s="815"/>
      <c r="C192" s="815"/>
      <c r="D192" s="815"/>
      <c r="E192" s="815"/>
      <c r="F192" s="815"/>
      <c r="G192" s="815"/>
      <c r="H192" s="815"/>
      <c r="I192" s="815"/>
      <c r="J192" s="815"/>
      <c r="K192" s="873"/>
    </row>
    <row r="193" spans="1:11" ht="11.25">
      <c r="A193" s="815"/>
      <c r="B193" s="815"/>
      <c r="C193" s="815"/>
      <c r="D193" s="815"/>
      <c r="E193" s="815"/>
      <c r="F193" s="815"/>
      <c r="G193" s="815"/>
      <c r="H193" s="815"/>
      <c r="I193" s="815"/>
      <c r="J193" s="815"/>
      <c r="K193" s="873"/>
    </row>
    <row r="194" spans="1:11" ht="11.25">
      <c r="A194" s="815"/>
      <c r="B194" s="815"/>
      <c r="C194" s="815"/>
      <c r="D194" s="815"/>
      <c r="E194" s="815"/>
      <c r="F194" s="815"/>
      <c r="G194" s="815"/>
      <c r="H194" s="815"/>
      <c r="I194" s="815"/>
      <c r="J194" s="815"/>
      <c r="K194" s="873"/>
    </row>
    <row r="195" spans="1:11" ht="11.25">
      <c r="A195" s="815"/>
      <c r="B195" s="815"/>
      <c r="C195" s="815"/>
      <c r="D195" s="815"/>
      <c r="E195" s="815"/>
      <c r="F195" s="815"/>
      <c r="G195" s="815"/>
      <c r="H195" s="815"/>
      <c r="I195" s="815"/>
      <c r="J195" s="815"/>
      <c r="K195" s="873"/>
    </row>
    <row r="196" spans="1:11" ht="11.25">
      <c r="A196" s="815"/>
      <c r="B196" s="815"/>
      <c r="C196" s="815"/>
      <c r="D196" s="815"/>
      <c r="E196" s="815"/>
      <c r="F196" s="815"/>
      <c r="G196" s="815"/>
      <c r="H196" s="815"/>
      <c r="I196" s="815"/>
      <c r="J196" s="815"/>
      <c r="K196" s="873"/>
    </row>
    <row r="197" spans="1:11" ht="11.25">
      <c r="A197" s="815"/>
      <c r="B197" s="815"/>
      <c r="C197" s="815"/>
      <c r="D197" s="815"/>
      <c r="E197" s="815"/>
      <c r="F197" s="815"/>
      <c r="G197" s="815"/>
      <c r="H197" s="815"/>
      <c r="I197" s="815"/>
      <c r="J197" s="815"/>
      <c r="K197" s="873"/>
    </row>
    <row r="198" spans="1:11" ht="11.25">
      <c r="A198" s="815"/>
      <c r="B198" s="815"/>
      <c r="C198" s="815"/>
      <c r="D198" s="815"/>
      <c r="E198" s="815"/>
      <c r="F198" s="815"/>
      <c r="G198" s="815"/>
      <c r="H198" s="815"/>
      <c r="I198" s="815"/>
      <c r="J198" s="815"/>
      <c r="K198" s="873"/>
    </row>
    <row r="199" spans="1:11" ht="11.25">
      <c r="A199" s="815"/>
      <c r="B199" s="815"/>
      <c r="C199" s="815"/>
      <c r="D199" s="815"/>
      <c r="E199" s="815"/>
      <c r="F199" s="815"/>
      <c r="G199" s="815"/>
      <c r="H199" s="815"/>
      <c r="I199" s="815"/>
      <c r="J199" s="815"/>
      <c r="K199" s="873"/>
    </row>
    <row r="200" spans="1:11" ht="11.25">
      <c r="A200" s="815"/>
      <c r="B200" s="815"/>
      <c r="C200" s="815"/>
      <c r="D200" s="815"/>
      <c r="E200" s="815"/>
      <c r="F200" s="815"/>
      <c r="G200" s="815"/>
      <c r="H200" s="815"/>
      <c r="I200" s="815"/>
      <c r="J200" s="815"/>
      <c r="K200" s="873"/>
    </row>
    <row r="201" spans="1:11" ht="11.25">
      <c r="A201" s="815"/>
      <c r="B201" s="815"/>
      <c r="C201" s="815"/>
      <c r="D201" s="815"/>
      <c r="E201" s="815"/>
      <c r="F201" s="815"/>
      <c r="G201" s="815"/>
      <c r="H201" s="815"/>
      <c r="I201" s="815"/>
      <c r="J201" s="815"/>
      <c r="K201" s="873"/>
    </row>
    <row r="202" spans="1:11" ht="11.25">
      <c r="A202" s="815"/>
      <c r="B202" s="815"/>
      <c r="C202" s="815"/>
      <c r="D202" s="815"/>
      <c r="E202" s="815"/>
      <c r="F202" s="815"/>
      <c r="G202" s="815"/>
      <c r="H202" s="815"/>
      <c r="I202" s="815"/>
      <c r="J202" s="815"/>
      <c r="K202" s="873"/>
    </row>
    <row r="203" spans="1:11" ht="11.25">
      <c r="A203" s="815"/>
      <c r="B203" s="815"/>
      <c r="C203" s="815"/>
      <c r="D203" s="815"/>
      <c r="E203" s="815"/>
      <c r="F203" s="815"/>
      <c r="G203" s="815"/>
      <c r="H203" s="815"/>
      <c r="I203" s="815"/>
      <c r="J203" s="815"/>
      <c r="K203" s="873"/>
    </row>
    <row r="204" spans="1:11" ht="11.25">
      <c r="A204" s="815"/>
      <c r="B204" s="815"/>
      <c r="C204" s="815"/>
      <c r="D204" s="815"/>
      <c r="E204" s="815"/>
      <c r="F204" s="815"/>
      <c r="G204" s="815"/>
      <c r="H204" s="815"/>
      <c r="I204" s="815"/>
      <c r="J204" s="815"/>
      <c r="K204" s="873"/>
    </row>
    <row r="205" spans="1:11" ht="11.25">
      <c r="A205" s="815"/>
      <c r="B205" s="815"/>
      <c r="C205" s="815"/>
      <c r="D205" s="815"/>
      <c r="E205" s="815"/>
      <c r="F205" s="815"/>
      <c r="G205" s="815"/>
      <c r="H205" s="815"/>
      <c r="I205" s="815"/>
      <c r="J205" s="815"/>
      <c r="K205" s="873"/>
    </row>
    <row r="206" spans="1:11" ht="11.25">
      <c r="A206" s="815"/>
      <c r="B206" s="815"/>
      <c r="C206" s="815"/>
      <c r="D206" s="815"/>
      <c r="E206" s="815"/>
      <c r="F206" s="815"/>
      <c r="G206" s="815"/>
      <c r="H206" s="815"/>
      <c r="I206" s="815"/>
      <c r="J206" s="815"/>
      <c r="K206" s="873"/>
    </row>
    <row r="207" spans="1:11" ht="11.25">
      <c r="A207" s="815"/>
      <c r="B207" s="815"/>
      <c r="C207" s="815"/>
      <c r="D207" s="815"/>
      <c r="E207" s="815"/>
      <c r="F207" s="815"/>
      <c r="G207" s="815"/>
      <c r="H207" s="815"/>
      <c r="I207" s="815"/>
      <c r="J207" s="815"/>
      <c r="K207" s="873"/>
    </row>
    <row r="208" spans="1:11" ht="11.25">
      <c r="A208" s="815"/>
      <c r="B208" s="815"/>
      <c r="C208" s="815"/>
      <c r="D208" s="815"/>
      <c r="E208" s="815"/>
      <c r="F208" s="815"/>
      <c r="G208" s="815"/>
      <c r="H208" s="815"/>
      <c r="I208" s="815"/>
      <c r="J208" s="815"/>
      <c r="K208" s="873"/>
    </row>
    <row r="209" spans="1:11" ht="11.25">
      <c r="A209" s="815"/>
      <c r="B209" s="815"/>
      <c r="C209" s="815"/>
      <c r="D209" s="815"/>
      <c r="E209" s="815"/>
      <c r="F209" s="815"/>
      <c r="G209" s="815"/>
      <c r="H209" s="815"/>
      <c r="I209" s="815"/>
      <c r="J209" s="815"/>
      <c r="K209" s="873"/>
    </row>
    <row r="210" spans="1:11" ht="11.25">
      <c r="A210" s="815"/>
      <c r="B210" s="815"/>
      <c r="C210" s="815"/>
      <c r="D210" s="815"/>
      <c r="E210" s="815"/>
      <c r="F210" s="815"/>
      <c r="G210" s="815"/>
      <c r="H210" s="815"/>
      <c r="I210" s="815"/>
      <c r="J210" s="815"/>
      <c r="K210" s="873"/>
    </row>
    <row r="211" spans="1:11" ht="11.25">
      <c r="A211" s="815"/>
      <c r="B211" s="815"/>
      <c r="C211" s="815"/>
      <c r="D211" s="815"/>
      <c r="E211" s="815"/>
      <c r="F211" s="815"/>
      <c r="G211" s="815"/>
      <c r="H211" s="815"/>
      <c r="I211" s="815"/>
      <c r="J211" s="815"/>
      <c r="K211" s="873"/>
    </row>
    <row r="212" spans="1:11" ht="11.25">
      <c r="A212" s="815"/>
      <c r="B212" s="815"/>
      <c r="C212" s="815"/>
      <c r="D212" s="815"/>
      <c r="E212" s="815"/>
      <c r="F212" s="815"/>
      <c r="G212" s="815"/>
      <c r="H212" s="815"/>
      <c r="I212" s="815"/>
      <c r="J212" s="815"/>
      <c r="K212" s="873"/>
    </row>
    <row r="213" spans="1:11" ht="11.25">
      <c r="A213" s="815"/>
      <c r="B213" s="815"/>
      <c r="C213" s="815"/>
      <c r="D213" s="815"/>
      <c r="E213" s="815"/>
      <c r="F213" s="815"/>
      <c r="G213" s="815"/>
      <c r="H213" s="815"/>
      <c r="I213" s="815"/>
      <c r="J213" s="815"/>
      <c r="K213" s="873"/>
    </row>
    <row r="214" spans="1:11" ht="11.25">
      <c r="A214" s="815"/>
      <c r="B214" s="815"/>
      <c r="C214" s="815"/>
      <c r="D214" s="815"/>
      <c r="E214" s="815"/>
      <c r="F214" s="815"/>
      <c r="G214" s="815"/>
      <c r="H214" s="815"/>
      <c r="I214" s="815"/>
      <c r="J214" s="815"/>
      <c r="K214" s="873"/>
    </row>
    <row r="215" spans="1:11" ht="11.25">
      <c r="A215" s="815"/>
      <c r="B215" s="815"/>
      <c r="C215" s="815"/>
      <c r="D215" s="815"/>
      <c r="E215" s="815"/>
      <c r="F215" s="815"/>
      <c r="G215" s="815"/>
      <c r="H215" s="815"/>
      <c r="I215" s="815"/>
      <c r="J215" s="815"/>
      <c r="K215" s="873"/>
    </row>
    <row r="216" spans="1:11" ht="11.25">
      <c r="A216" s="815"/>
      <c r="B216" s="815"/>
      <c r="C216" s="815"/>
      <c r="D216" s="815"/>
      <c r="E216" s="815"/>
      <c r="F216" s="815"/>
      <c r="G216" s="815"/>
      <c r="H216" s="815"/>
      <c r="I216" s="815"/>
      <c r="J216" s="815"/>
      <c r="K216" s="873"/>
    </row>
    <row r="217" spans="1:11" ht="11.25">
      <c r="A217" s="815"/>
      <c r="B217" s="815"/>
      <c r="C217" s="815"/>
      <c r="D217" s="815"/>
      <c r="E217" s="815"/>
      <c r="F217" s="815"/>
      <c r="G217" s="815"/>
      <c r="H217" s="815"/>
      <c r="I217" s="815"/>
      <c r="J217" s="815"/>
      <c r="K217" s="873"/>
    </row>
    <row r="218" spans="1:11" ht="11.25">
      <c r="A218" s="815"/>
      <c r="B218" s="815"/>
      <c r="C218" s="815"/>
      <c r="D218" s="815"/>
      <c r="E218" s="815"/>
      <c r="F218" s="815"/>
      <c r="G218" s="815"/>
      <c r="H218" s="815"/>
      <c r="I218" s="815"/>
      <c r="J218" s="815"/>
      <c r="K218" s="873"/>
    </row>
    <row r="219" spans="1:11" ht="11.25">
      <c r="A219" s="815"/>
      <c r="B219" s="815"/>
      <c r="C219" s="815"/>
      <c r="D219" s="815"/>
      <c r="E219" s="815"/>
      <c r="F219" s="815"/>
      <c r="G219" s="815"/>
      <c r="H219" s="815"/>
      <c r="I219" s="815"/>
      <c r="J219" s="815"/>
      <c r="K219" s="873"/>
    </row>
    <row r="220" spans="1:11" ht="11.25">
      <c r="A220" s="815"/>
      <c r="B220" s="815"/>
      <c r="C220" s="815"/>
      <c r="D220" s="815"/>
      <c r="E220" s="815"/>
      <c r="F220" s="815"/>
      <c r="G220" s="815"/>
      <c r="H220" s="815"/>
      <c r="I220" s="815"/>
      <c r="J220" s="815"/>
      <c r="K220" s="873"/>
    </row>
    <row r="221" spans="1:11" ht="11.25">
      <c r="A221" s="815"/>
      <c r="B221" s="815"/>
      <c r="C221" s="815"/>
      <c r="D221" s="815"/>
      <c r="E221" s="815"/>
      <c r="F221" s="815"/>
      <c r="G221" s="815"/>
      <c r="H221" s="815"/>
      <c r="I221" s="815"/>
      <c r="J221" s="815"/>
      <c r="K221" s="873"/>
    </row>
    <row r="222" spans="1:11" ht="11.25">
      <c r="A222" s="815"/>
      <c r="B222" s="815"/>
      <c r="C222" s="815"/>
      <c r="D222" s="815"/>
      <c r="E222" s="815"/>
      <c r="F222" s="815"/>
      <c r="G222" s="815"/>
      <c r="H222" s="815"/>
      <c r="I222" s="815"/>
      <c r="J222" s="815"/>
      <c r="K222" s="873"/>
    </row>
    <row r="223" spans="1:11" ht="11.25">
      <c r="A223" s="815"/>
      <c r="B223" s="815"/>
      <c r="C223" s="815"/>
      <c r="D223" s="815"/>
      <c r="E223" s="815"/>
      <c r="F223" s="815"/>
      <c r="G223" s="815"/>
      <c r="H223" s="815"/>
      <c r="I223" s="815"/>
      <c r="J223" s="815"/>
      <c r="K223" s="873"/>
    </row>
    <row r="224" spans="1:11" ht="11.25">
      <c r="A224" s="815"/>
      <c r="B224" s="815"/>
      <c r="C224" s="815"/>
      <c r="D224" s="815"/>
      <c r="E224" s="815"/>
      <c r="F224" s="815"/>
      <c r="G224" s="815"/>
      <c r="H224" s="815"/>
      <c r="I224" s="815"/>
      <c r="J224" s="815"/>
      <c r="K224" s="873"/>
    </row>
    <row r="225" spans="1:11" ht="11.25">
      <c r="A225" s="815"/>
      <c r="B225" s="815"/>
      <c r="C225" s="815"/>
      <c r="D225" s="815"/>
      <c r="E225" s="815"/>
      <c r="F225" s="815"/>
      <c r="G225" s="815"/>
      <c r="H225" s="815"/>
      <c r="I225" s="815"/>
      <c r="J225" s="815"/>
      <c r="K225" s="873"/>
    </row>
    <row r="226" spans="1:11" ht="11.25">
      <c r="A226" s="815"/>
      <c r="B226" s="815"/>
      <c r="C226" s="815"/>
      <c r="D226" s="815"/>
      <c r="E226" s="815"/>
      <c r="F226" s="815"/>
      <c r="G226" s="815"/>
      <c r="H226" s="815"/>
      <c r="I226" s="815"/>
      <c r="J226" s="815"/>
      <c r="K226" s="873"/>
    </row>
    <row r="227" spans="1:11" ht="11.25">
      <c r="A227" s="815"/>
      <c r="B227" s="815"/>
      <c r="C227" s="815"/>
      <c r="D227" s="815"/>
      <c r="E227" s="815"/>
      <c r="F227" s="815"/>
      <c r="G227" s="815"/>
      <c r="H227" s="815"/>
      <c r="I227" s="815"/>
      <c r="J227" s="815"/>
      <c r="K227" s="873"/>
    </row>
    <row r="228" spans="1:11" ht="11.25">
      <c r="A228" s="815"/>
      <c r="B228" s="815"/>
      <c r="C228" s="815"/>
      <c r="D228" s="815"/>
      <c r="E228" s="815"/>
      <c r="F228" s="815"/>
      <c r="G228" s="815"/>
      <c r="H228" s="815"/>
      <c r="I228" s="815"/>
      <c r="J228" s="815"/>
      <c r="K228" s="873"/>
    </row>
    <row r="229" spans="1:11" ht="11.25">
      <c r="A229" s="815"/>
      <c r="B229" s="815"/>
      <c r="C229" s="815"/>
      <c r="D229" s="815"/>
      <c r="E229" s="815"/>
      <c r="F229" s="815"/>
      <c r="G229" s="815"/>
      <c r="H229" s="815"/>
      <c r="I229" s="815"/>
      <c r="J229" s="815"/>
      <c r="K229" s="873"/>
    </row>
    <row r="230" spans="1:11" ht="11.25">
      <c r="A230" s="815"/>
      <c r="B230" s="815"/>
      <c r="C230" s="815"/>
      <c r="D230" s="815"/>
      <c r="E230" s="815"/>
      <c r="F230" s="815"/>
      <c r="G230" s="815"/>
      <c r="H230" s="815"/>
      <c r="I230" s="815"/>
      <c r="J230" s="815"/>
      <c r="K230" s="873"/>
    </row>
    <row r="231" spans="1:11" ht="11.25">
      <c r="A231" s="815"/>
      <c r="B231" s="815"/>
      <c r="C231" s="815"/>
      <c r="D231" s="815"/>
      <c r="E231" s="815"/>
      <c r="F231" s="815"/>
      <c r="G231" s="815"/>
      <c r="H231" s="815"/>
      <c r="I231" s="815"/>
      <c r="J231" s="815"/>
      <c r="K231" s="873"/>
    </row>
    <row r="232" spans="1:11" ht="11.25">
      <c r="A232" s="815"/>
      <c r="B232" s="815"/>
      <c r="C232" s="815"/>
      <c r="D232" s="815"/>
      <c r="E232" s="815"/>
      <c r="F232" s="815"/>
      <c r="G232" s="815"/>
      <c r="H232" s="815"/>
      <c r="I232" s="815"/>
      <c r="J232" s="815"/>
      <c r="K232" s="873"/>
    </row>
    <row r="233" spans="1:11" ht="11.25">
      <c r="A233" s="815"/>
      <c r="B233" s="815"/>
      <c r="C233" s="815"/>
      <c r="D233" s="815"/>
      <c r="E233" s="815"/>
      <c r="F233" s="815"/>
      <c r="G233" s="815"/>
      <c r="H233" s="815"/>
      <c r="I233" s="815"/>
      <c r="J233" s="815"/>
      <c r="K233" s="873"/>
    </row>
    <row r="234" spans="1:11" ht="11.25">
      <c r="A234" s="815"/>
      <c r="B234" s="815"/>
      <c r="C234" s="815"/>
      <c r="D234" s="815"/>
      <c r="E234" s="815"/>
      <c r="F234" s="815"/>
      <c r="G234" s="815"/>
      <c r="H234" s="815"/>
      <c r="I234" s="815"/>
      <c r="J234" s="815"/>
      <c r="K234" s="873"/>
    </row>
    <row r="235" spans="1:11" ht="11.25">
      <c r="A235" s="815"/>
      <c r="B235" s="815"/>
      <c r="C235" s="815"/>
      <c r="D235" s="815"/>
      <c r="E235" s="815"/>
      <c r="F235" s="815"/>
      <c r="G235" s="815"/>
      <c r="H235" s="815"/>
      <c r="I235" s="815"/>
      <c r="J235" s="815"/>
      <c r="K235" s="873"/>
    </row>
    <row r="236" spans="1:11" ht="11.25">
      <c r="A236" s="815"/>
      <c r="B236" s="815"/>
      <c r="C236" s="815"/>
      <c r="D236" s="815"/>
      <c r="E236" s="815"/>
      <c r="F236" s="815"/>
      <c r="G236" s="815"/>
      <c r="H236" s="815"/>
      <c r="I236" s="815"/>
      <c r="J236" s="815"/>
      <c r="K236" s="873"/>
    </row>
    <row r="237" spans="1:11" ht="11.25">
      <c r="A237" s="815"/>
      <c r="B237" s="815"/>
      <c r="C237" s="815"/>
      <c r="D237" s="815"/>
      <c r="E237" s="815"/>
      <c r="F237" s="815"/>
      <c r="G237" s="815"/>
      <c r="H237" s="815"/>
      <c r="I237" s="815"/>
      <c r="J237" s="815"/>
      <c r="K237" s="873"/>
    </row>
    <row r="238" spans="1:11" ht="11.25">
      <c r="A238" s="815"/>
      <c r="B238" s="815"/>
      <c r="C238" s="815"/>
      <c r="D238" s="815"/>
      <c r="E238" s="815"/>
      <c r="F238" s="815"/>
      <c r="G238" s="815"/>
      <c r="H238" s="815"/>
      <c r="I238" s="815"/>
      <c r="J238" s="815"/>
      <c r="K238" s="873"/>
    </row>
    <row r="239" spans="1:11" ht="11.25">
      <c r="A239" s="815"/>
      <c r="B239" s="815"/>
      <c r="C239" s="815"/>
      <c r="D239" s="815"/>
      <c r="E239" s="815"/>
      <c r="F239" s="815"/>
      <c r="G239" s="815"/>
      <c r="H239" s="815"/>
      <c r="I239" s="815"/>
      <c r="J239" s="815"/>
      <c r="K239" s="873"/>
    </row>
    <row r="240" spans="1:11" ht="11.25">
      <c r="A240" s="815"/>
      <c r="B240" s="815"/>
      <c r="C240" s="815"/>
      <c r="D240" s="815"/>
      <c r="E240" s="815"/>
      <c r="F240" s="815"/>
      <c r="G240" s="815"/>
      <c r="H240" s="815"/>
      <c r="I240" s="815"/>
      <c r="J240" s="815"/>
      <c r="K240" s="873"/>
    </row>
    <row r="241" spans="1:11" ht="11.25">
      <c r="A241" s="815"/>
      <c r="B241" s="815"/>
      <c r="C241" s="815"/>
      <c r="D241" s="815"/>
      <c r="E241" s="815"/>
      <c r="F241" s="815"/>
      <c r="G241" s="815"/>
      <c r="H241" s="815"/>
      <c r="I241" s="815"/>
      <c r="J241" s="815"/>
      <c r="K241" s="873"/>
    </row>
    <row r="242" spans="1:11" ht="11.25">
      <c r="A242" s="815"/>
      <c r="B242" s="815"/>
      <c r="C242" s="815"/>
      <c r="D242" s="815"/>
      <c r="E242" s="815"/>
      <c r="F242" s="815"/>
      <c r="G242" s="815"/>
      <c r="H242" s="815"/>
      <c r="I242" s="815"/>
      <c r="J242" s="815"/>
      <c r="K242" s="873"/>
    </row>
    <row r="243" spans="1:11" ht="11.25">
      <c r="A243" s="815"/>
      <c r="B243" s="815"/>
      <c r="C243" s="815"/>
      <c r="D243" s="815"/>
      <c r="E243" s="815"/>
      <c r="F243" s="815"/>
      <c r="G243" s="815"/>
      <c r="H243" s="815"/>
      <c r="I243" s="815"/>
      <c r="J243" s="815"/>
      <c r="K243" s="873"/>
    </row>
    <row r="244" spans="1:11" ht="11.25">
      <c r="A244" s="815"/>
      <c r="B244" s="815"/>
      <c r="C244" s="815"/>
      <c r="D244" s="815"/>
      <c r="E244" s="815"/>
      <c r="F244" s="815"/>
      <c r="G244" s="815"/>
      <c r="H244" s="815"/>
      <c r="I244" s="815"/>
      <c r="J244" s="815"/>
      <c r="K244" s="873"/>
    </row>
    <row r="245" spans="1:11" ht="11.25">
      <c r="A245" s="815"/>
      <c r="B245" s="815"/>
      <c r="C245" s="815"/>
      <c r="D245" s="815"/>
      <c r="E245" s="815"/>
      <c r="F245" s="815"/>
      <c r="G245" s="815"/>
      <c r="H245" s="815"/>
      <c r="I245" s="815"/>
      <c r="J245" s="815"/>
      <c r="K245" s="873"/>
    </row>
    <row r="246" spans="1:11" ht="11.25">
      <c r="A246" s="815"/>
      <c r="B246" s="815"/>
      <c r="C246" s="815"/>
      <c r="D246" s="815"/>
      <c r="E246" s="815"/>
      <c r="F246" s="815"/>
      <c r="G246" s="815"/>
      <c r="H246" s="815"/>
      <c r="I246" s="815"/>
      <c r="J246" s="815"/>
      <c r="K246" s="873"/>
    </row>
    <row r="247" spans="1:11" ht="11.25">
      <c r="A247" s="815"/>
      <c r="B247" s="815"/>
      <c r="C247" s="815"/>
      <c r="D247" s="815"/>
      <c r="E247" s="815"/>
      <c r="F247" s="815"/>
      <c r="G247" s="815"/>
      <c r="H247" s="815"/>
      <c r="I247" s="815"/>
      <c r="J247" s="815"/>
      <c r="K247" s="873"/>
    </row>
    <row r="248" spans="1:11" ht="11.25">
      <c r="A248" s="815"/>
      <c r="B248" s="815"/>
      <c r="C248" s="815"/>
      <c r="D248" s="815"/>
      <c r="E248" s="815"/>
      <c r="F248" s="815"/>
      <c r="G248" s="815"/>
      <c r="H248" s="815"/>
      <c r="I248" s="815"/>
      <c r="J248" s="815"/>
      <c r="K248" s="873"/>
    </row>
    <row r="249" spans="1:11" ht="11.25">
      <c r="A249" s="815"/>
      <c r="B249" s="815"/>
      <c r="C249" s="815"/>
      <c r="D249" s="815"/>
      <c r="E249" s="815"/>
      <c r="F249" s="815"/>
      <c r="G249" s="815"/>
      <c r="H249" s="815"/>
      <c r="I249" s="815"/>
      <c r="J249" s="815"/>
      <c r="K249" s="873"/>
    </row>
    <row r="250" spans="1:11" ht="11.25">
      <c r="A250" s="815"/>
      <c r="B250" s="815"/>
      <c r="C250" s="815"/>
      <c r="D250" s="815"/>
      <c r="E250" s="815"/>
      <c r="F250" s="815"/>
      <c r="G250" s="815"/>
      <c r="H250" s="815"/>
      <c r="I250" s="815"/>
      <c r="J250" s="815"/>
      <c r="K250" s="873"/>
    </row>
    <row r="251" spans="1:11" ht="11.25">
      <c r="A251" s="815"/>
      <c r="B251" s="815"/>
      <c r="C251" s="815"/>
      <c r="D251" s="815"/>
      <c r="E251" s="815"/>
      <c r="F251" s="815"/>
      <c r="G251" s="815"/>
      <c r="H251" s="815"/>
      <c r="I251" s="815"/>
      <c r="J251" s="815"/>
      <c r="K251" s="873"/>
    </row>
    <row r="252" spans="1:11" ht="11.25">
      <c r="A252" s="815"/>
      <c r="B252" s="815"/>
      <c r="C252" s="815"/>
      <c r="D252" s="815"/>
      <c r="E252" s="815"/>
      <c r="F252" s="815"/>
      <c r="G252" s="815"/>
      <c r="H252" s="815"/>
      <c r="I252" s="815"/>
      <c r="J252" s="815"/>
      <c r="K252" s="873"/>
    </row>
    <row r="253" spans="1:11" ht="11.25">
      <c r="A253" s="815"/>
      <c r="B253" s="815"/>
      <c r="C253" s="815"/>
      <c r="D253" s="815"/>
      <c r="E253" s="815"/>
      <c r="F253" s="815"/>
      <c r="G253" s="815"/>
      <c r="H253" s="815"/>
      <c r="I253" s="815"/>
      <c r="J253" s="815"/>
      <c r="K253" s="873"/>
    </row>
    <row r="254" spans="1:11" ht="11.25">
      <c r="A254" s="815"/>
      <c r="B254" s="815"/>
      <c r="C254" s="815"/>
      <c r="D254" s="815"/>
      <c r="E254" s="815"/>
      <c r="F254" s="815"/>
      <c r="G254" s="815"/>
      <c r="H254" s="815"/>
      <c r="I254" s="815"/>
      <c r="J254" s="815"/>
      <c r="K254" s="873"/>
    </row>
    <row r="255" spans="1:11" ht="11.25">
      <c r="A255" s="815"/>
      <c r="B255" s="815"/>
      <c r="C255" s="815"/>
      <c r="D255" s="815"/>
      <c r="E255" s="815"/>
      <c r="F255" s="815"/>
      <c r="G255" s="815"/>
      <c r="H255" s="815"/>
      <c r="I255" s="815"/>
      <c r="J255" s="815"/>
      <c r="K255" s="873"/>
    </row>
    <row r="256" spans="1:11" ht="11.25">
      <c r="A256" s="815"/>
      <c r="B256" s="815"/>
      <c r="C256" s="815"/>
      <c r="D256" s="815"/>
      <c r="E256" s="815"/>
      <c r="F256" s="815"/>
      <c r="G256" s="815"/>
      <c r="H256" s="815"/>
      <c r="I256" s="815"/>
      <c r="J256" s="815"/>
      <c r="K256" s="873"/>
    </row>
    <row r="257" spans="1:11" ht="11.25">
      <c r="A257" s="815"/>
      <c r="B257" s="815"/>
      <c r="C257" s="815"/>
      <c r="D257" s="815"/>
      <c r="E257" s="815"/>
      <c r="F257" s="815"/>
      <c r="G257" s="815"/>
      <c r="H257" s="815"/>
      <c r="I257" s="815"/>
      <c r="J257" s="815"/>
      <c r="K257" s="873"/>
    </row>
    <row r="258" spans="1:11" ht="11.25">
      <c r="A258" s="815"/>
      <c r="B258" s="815"/>
      <c r="C258" s="815"/>
      <c r="D258" s="815"/>
      <c r="E258" s="815"/>
      <c r="F258" s="815"/>
      <c r="G258" s="815"/>
      <c r="H258" s="815"/>
      <c r="I258" s="815"/>
      <c r="J258" s="815"/>
      <c r="K258" s="873"/>
    </row>
    <row r="259" spans="1:11" ht="11.25">
      <c r="A259" s="815"/>
      <c r="B259" s="815"/>
      <c r="C259" s="815"/>
      <c r="D259" s="815"/>
      <c r="E259" s="815"/>
      <c r="F259" s="815"/>
      <c r="G259" s="815"/>
      <c r="H259" s="815"/>
      <c r="I259" s="815"/>
      <c r="J259" s="815"/>
      <c r="K259" s="873"/>
    </row>
    <row r="260" spans="1:11" ht="11.25">
      <c r="A260" s="815"/>
      <c r="B260" s="815"/>
      <c r="C260" s="815"/>
      <c r="D260" s="815"/>
      <c r="E260" s="815"/>
      <c r="F260" s="815"/>
      <c r="G260" s="815"/>
      <c r="H260" s="815"/>
      <c r="I260" s="815"/>
      <c r="J260" s="815"/>
      <c r="K260" s="873"/>
    </row>
    <row r="261" spans="1:11" ht="11.25">
      <c r="A261" s="815"/>
      <c r="B261" s="815"/>
      <c r="C261" s="815"/>
      <c r="D261" s="815"/>
      <c r="E261" s="815"/>
      <c r="F261" s="815"/>
      <c r="G261" s="815"/>
      <c r="H261" s="815"/>
      <c r="I261" s="815"/>
      <c r="J261" s="815"/>
      <c r="K261" s="873"/>
    </row>
    <row r="262" spans="1:11" ht="11.25">
      <c r="A262" s="815"/>
      <c r="B262" s="815"/>
      <c r="C262" s="815"/>
      <c r="D262" s="815"/>
      <c r="E262" s="815"/>
      <c r="F262" s="815"/>
      <c r="G262" s="815"/>
      <c r="H262" s="815"/>
      <c r="I262" s="815"/>
      <c r="J262" s="815"/>
      <c r="K262" s="873"/>
    </row>
    <row r="263" spans="1:11" ht="11.25">
      <c r="A263" s="815"/>
      <c r="B263" s="815"/>
      <c r="C263" s="815"/>
      <c r="D263" s="815"/>
      <c r="E263" s="815"/>
      <c r="F263" s="815"/>
      <c r="G263" s="815"/>
      <c r="H263" s="815"/>
      <c r="I263" s="815"/>
      <c r="J263" s="815"/>
      <c r="K263" s="873"/>
    </row>
    <row r="264" spans="1:11" ht="11.25">
      <c r="A264" s="815"/>
      <c r="B264" s="815"/>
      <c r="C264" s="815"/>
      <c r="D264" s="815"/>
      <c r="E264" s="815"/>
      <c r="F264" s="815"/>
      <c r="G264" s="815"/>
      <c r="H264" s="815"/>
      <c r="I264" s="815"/>
      <c r="J264" s="815"/>
      <c r="K264" s="873"/>
    </row>
    <row r="265" spans="1:11" ht="11.25">
      <c r="A265" s="815"/>
      <c r="B265" s="815"/>
      <c r="C265" s="815"/>
      <c r="D265" s="815"/>
      <c r="E265" s="815"/>
      <c r="F265" s="815"/>
      <c r="G265" s="815"/>
      <c r="H265" s="815"/>
      <c r="I265" s="815"/>
      <c r="J265" s="815"/>
      <c r="K265" s="873"/>
    </row>
    <row r="266" spans="1:11" ht="11.25">
      <c r="A266" s="815"/>
      <c r="B266" s="815"/>
      <c r="C266" s="815"/>
      <c r="D266" s="815"/>
      <c r="E266" s="815"/>
      <c r="F266" s="815"/>
      <c r="G266" s="815"/>
      <c r="H266" s="815"/>
      <c r="I266" s="815"/>
      <c r="J266" s="815"/>
      <c r="K266" s="873"/>
    </row>
    <row r="267" spans="1:11" ht="11.25">
      <c r="A267" s="815"/>
      <c r="B267" s="815"/>
      <c r="C267" s="815"/>
      <c r="D267" s="815"/>
      <c r="E267" s="815"/>
      <c r="F267" s="815"/>
      <c r="G267" s="815"/>
      <c r="H267" s="815"/>
      <c r="I267" s="815"/>
      <c r="J267" s="815"/>
      <c r="K267" s="873"/>
    </row>
    <row r="268" spans="1:11" ht="11.25">
      <c r="A268" s="815"/>
      <c r="B268" s="815"/>
      <c r="C268" s="815"/>
      <c r="D268" s="815"/>
      <c r="E268" s="815"/>
      <c r="F268" s="815"/>
      <c r="G268" s="815"/>
      <c r="H268" s="815"/>
      <c r="I268" s="815"/>
      <c r="J268" s="815"/>
      <c r="K268" s="873"/>
    </row>
    <row r="269" spans="1:11" ht="11.25">
      <c r="A269" s="815"/>
      <c r="B269" s="815"/>
      <c r="C269" s="815"/>
      <c r="D269" s="815"/>
      <c r="E269" s="815"/>
      <c r="F269" s="815"/>
      <c r="G269" s="815"/>
      <c r="H269" s="815"/>
      <c r="I269" s="815"/>
      <c r="J269" s="815"/>
      <c r="K269" s="873"/>
    </row>
    <row r="270" spans="1:11" ht="11.25">
      <c r="A270" s="815"/>
      <c r="B270" s="815"/>
      <c r="C270" s="815"/>
      <c r="D270" s="815"/>
      <c r="E270" s="815"/>
      <c r="F270" s="815"/>
      <c r="G270" s="815"/>
      <c r="H270" s="815"/>
      <c r="I270" s="815"/>
      <c r="J270" s="815"/>
      <c r="K270" s="873"/>
    </row>
    <row r="271" spans="1:11" ht="11.25">
      <c r="A271" s="815"/>
      <c r="B271" s="815"/>
      <c r="C271" s="815"/>
      <c r="D271" s="815"/>
      <c r="E271" s="815"/>
      <c r="F271" s="815"/>
      <c r="G271" s="815"/>
      <c r="H271" s="815"/>
      <c r="I271" s="815"/>
      <c r="J271" s="815"/>
      <c r="K271" s="873"/>
    </row>
    <row r="272" spans="1:11" ht="11.25">
      <c r="A272" s="815"/>
      <c r="B272" s="815"/>
      <c r="C272" s="815"/>
      <c r="D272" s="815"/>
      <c r="E272" s="815"/>
      <c r="F272" s="815"/>
      <c r="G272" s="815"/>
      <c r="H272" s="815"/>
      <c r="I272" s="815"/>
      <c r="J272" s="815"/>
      <c r="K272" s="873"/>
    </row>
    <row r="273" spans="1:11" ht="11.25">
      <c r="A273" s="815"/>
      <c r="B273" s="815"/>
      <c r="C273" s="815"/>
      <c r="D273" s="815"/>
      <c r="E273" s="815"/>
      <c r="F273" s="815"/>
      <c r="G273" s="815"/>
      <c r="H273" s="815"/>
      <c r="I273" s="815"/>
      <c r="J273" s="815"/>
      <c r="K273" s="873"/>
    </row>
    <row r="274" spans="1:11" ht="11.25">
      <c r="A274" s="815"/>
      <c r="B274" s="815"/>
      <c r="C274" s="815"/>
      <c r="D274" s="815"/>
      <c r="E274" s="815"/>
      <c r="F274" s="815"/>
      <c r="G274" s="815"/>
      <c r="H274" s="815"/>
      <c r="I274" s="815"/>
      <c r="J274" s="815"/>
      <c r="K274" s="873"/>
    </row>
    <row r="275" spans="1:11" ht="11.25">
      <c r="A275" s="815"/>
      <c r="B275" s="815"/>
      <c r="C275" s="815"/>
      <c r="D275" s="815"/>
      <c r="E275" s="815"/>
      <c r="F275" s="815"/>
      <c r="G275" s="815"/>
      <c r="H275" s="815"/>
      <c r="I275" s="815"/>
      <c r="J275" s="815"/>
      <c r="K275" s="873"/>
    </row>
    <row r="276" spans="1:11" ht="11.25">
      <c r="A276" s="815"/>
      <c r="B276" s="815"/>
      <c r="C276" s="815"/>
      <c r="D276" s="815"/>
      <c r="E276" s="815"/>
      <c r="F276" s="815"/>
      <c r="G276" s="815"/>
      <c r="H276" s="815"/>
      <c r="I276" s="815"/>
      <c r="J276" s="815"/>
      <c r="K276" s="873"/>
    </row>
    <row r="277" spans="1:11" ht="11.25">
      <c r="A277" s="815"/>
      <c r="B277" s="815"/>
      <c r="C277" s="815"/>
      <c r="D277" s="815"/>
      <c r="E277" s="815"/>
      <c r="F277" s="815"/>
      <c r="G277" s="815"/>
      <c r="H277" s="815"/>
      <c r="I277" s="815"/>
      <c r="J277" s="815"/>
      <c r="K277" s="873"/>
    </row>
    <row r="278" spans="1:11" ht="11.25">
      <c r="A278" s="815"/>
      <c r="B278" s="815"/>
      <c r="C278" s="815"/>
      <c r="D278" s="815"/>
      <c r="E278" s="815"/>
      <c r="F278" s="815"/>
      <c r="G278" s="815"/>
      <c r="H278" s="815"/>
      <c r="I278" s="815"/>
      <c r="J278" s="815"/>
      <c r="K278" s="873"/>
    </row>
    <row r="279" spans="1:11" ht="11.25">
      <c r="A279" s="815"/>
      <c r="B279" s="815"/>
      <c r="C279" s="815"/>
      <c r="D279" s="815"/>
      <c r="E279" s="815"/>
      <c r="F279" s="815"/>
      <c r="G279" s="815"/>
      <c r="H279" s="815"/>
      <c r="I279" s="815"/>
      <c r="J279" s="815"/>
      <c r="K279" s="873"/>
    </row>
    <row r="280" spans="1:11" ht="11.25">
      <c r="A280" s="815"/>
      <c r="B280" s="815"/>
      <c r="C280" s="815"/>
      <c r="D280" s="815"/>
      <c r="E280" s="815"/>
      <c r="F280" s="815"/>
      <c r="G280" s="815"/>
      <c r="H280" s="815"/>
      <c r="I280" s="815"/>
      <c r="J280" s="815"/>
      <c r="K280" s="873"/>
    </row>
    <row r="281" spans="1:11" ht="11.25">
      <c r="A281" s="815"/>
      <c r="B281" s="815"/>
      <c r="C281" s="815"/>
      <c r="D281" s="815"/>
      <c r="E281" s="815"/>
      <c r="F281" s="815"/>
      <c r="G281" s="815"/>
      <c r="H281" s="815"/>
      <c r="I281" s="815"/>
      <c r="J281" s="815"/>
      <c r="K281" s="873"/>
    </row>
    <row r="282" spans="1:11" ht="11.25">
      <c r="A282" s="815"/>
      <c r="B282" s="815"/>
      <c r="C282" s="815"/>
      <c r="D282" s="815"/>
      <c r="E282" s="815"/>
      <c r="F282" s="815"/>
      <c r="G282" s="815"/>
      <c r="H282" s="815"/>
      <c r="I282" s="815"/>
      <c r="J282" s="815"/>
      <c r="K282" s="873"/>
    </row>
    <row r="283" spans="1:11" ht="11.25">
      <c r="A283" s="815"/>
      <c r="B283" s="815"/>
      <c r="C283" s="815"/>
      <c r="D283" s="815"/>
      <c r="E283" s="815"/>
      <c r="F283" s="815"/>
      <c r="G283" s="815"/>
      <c r="H283" s="815"/>
      <c r="I283" s="815"/>
      <c r="J283" s="815"/>
      <c r="K283" s="873"/>
    </row>
    <row r="284" spans="1:11" ht="11.25">
      <c r="A284" s="815"/>
      <c r="B284" s="815"/>
      <c r="C284" s="815"/>
      <c r="D284" s="815"/>
      <c r="E284" s="815"/>
      <c r="F284" s="815"/>
      <c r="G284" s="815"/>
      <c r="H284" s="815"/>
      <c r="I284" s="815"/>
      <c r="J284" s="815"/>
      <c r="K284" s="873"/>
    </row>
    <row r="285" spans="1:11" ht="11.25">
      <c r="A285" s="815"/>
      <c r="B285" s="815"/>
      <c r="C285" s="815"/>
      <c r="D285" s="815"/>
      <c r="E285" s="815"/>
      <c r="F285" s="815"/>
      <c r="G285" s="815"/>
      <c r="H285" s="815"/>
      <c r="I285" s="815"/>
      <c r="J285" s="815"/>
      <c r="K285" s="873"/>
    </row>
    <row r="286" spans="1:11" ht="11.25">
      <c r="A286" s="815"/>
      <c r="B286" s="815"/>
      <c r="C286" s="815"/>
      <c r="D286" s="815"/>
      <c r="E286" s="815"/>
      <c r="F286" s="815"/>
      <c r="G286" s="815"/>
      <c r="H286" s="815"/>
      <c r="I286" s="815"/>
      <c r="J286" s="815"/>
      <c r="K286" s="873"/>
    </row>
    <row r="287" spans="1:11" ht="11.25">
      <c r="A287" s="815"/>
      <c r="B287" s="815"/>
      <c r="C287" s="815"/>
      <c r="D287" s="815"/>
      <c r="E287" s="815"/>
      <c r="F287" s="815"/>
      <c r="G287" s="815"/>
      <c r="H287" s="815"/>
      <c r="I287" s="815"/>
      <c r="J287" s="815"/>
      <c r="K287" s="873"/>
    </row>
    <row r="288" spans="1:11" ht="11.25">
      <c r="A288" s="815"/>
      <c r="B288" s="815"/>
      <c r="C288" s="815"/>
      <c r="D288" s="815"/>
      <c r="E288" s="815"/>
      <c r="F288" s="815"/>
      <c r="G288" s="815"/>
      <c r="H288" s="815"/>
      <c r="I288" s="815"/>
      <c r="J288" s="815"/>
      <c r="K288" s="873"/>
    </row>
    <row r="289" spans="1:11" ht="11.25">
      <c r="A289" s="815"/>
      <c r="B289" s="815"/>
      <c r="C289" s="815"/>
      <c r="D289" s="815"/>
      <c r="E289" s="815"/>
      <c r="F289" s="815"/>
      <c r="G289" s="815"/>
      <c r="H289" s="815"/>
      <c r="I289" s="815"/>
      <c r="J289" s="815"/>
      <c r="K289" s="873"/>
    </row>
    <row r="290" spans="1:11" ht="11.25">
      <c r="A290" s="815"/>
      <c r="B290" s="815"/>
      <c r="C290" s="815"/>
      <c r="D290" s="815"/>
      <c r="E290" s="815"/>
      <c r="F290" s="815"/>
      <c r="G290" s="815"/>
      <c r="H290" s="815"/>
      <c r="I290" s="815"/>
      <c r="J290" s="815"/>
      <c r="K290" s="873"/>
    </row>
    <row r="291" spans="1:11" ht="11.25">
      <c r="A291" s="815"/>
      <c r="B291" s="815"/>
      <c r="C291" s="815"/>
      <c r="D291" s="815"/>
      <c r="E291" s="815"/>
      <c r="F291" s="815"/>
      <c r="G291" s="815"/>
      <c r="H291" s="815"/>
      <c r="I291" s="815"/>
      <c r="J291" s="815"/>
      <c r="K291" s="873"/>
    </row>
    <row r="292" spans="1:11" ht="11.25">
      <c r="A292" s="815"/>
      <c r="B292" s="815"/>
      <c r="C292" s="815"/>
      <c r="D292" s="815"/>
      <c r="E292" s="815"/>
      <c r="F292" s="815"/>
      <c r="G292" s="815"/>
      <c r="H292" s="815"/>
      <c r="I292" s="815"/>
      <c r="J292" s="815"/>
      <c r="K292" s="873"/>
    </row>
    <row r="293" spans="1:11" ht="11.25">
      <c r="A293" s="815"/>
      <c r="B293" s="815"/>
      <c r="C293" s="815"/>
      <c r="D293" s="815"/>
      <c r="E293" s="815"/>
      <c r="F293" s="815"/>
      <c r="G293" s="815"/>
      <c r="H293" s="815"/>
      <c r="I293" s="815"/>
      <c r="J293" s="815"/>
      <c r="K293" s="873"/>
    </row>
    <row r="294" spans="1:11" ht="11.25">
      <c r="A294" s="815"/>
      <c r="B294" s="815"/>
      <c r="C294" s="815"/>
      <c r="D294" s="815"/>
      <c r="E294" s="815"/>
      <c r="F294" s="815"/>
      <c r="G294" s="815"/>
      <c r="H294" s="815"/>
      <c r="I294" s="815"/>
      <c r="J294" s="815"/>
      <c r="K294" s="873"/>
    </row>
    <row r="295" spans="1:11" ht="11.25">
      <c r="A295" s="815"/>
      <c r="B295" s="815"/>
      <c r="C295" s="815"/>
      <c r="D295" s="815"/>
      <c r="E295" s="815"/>
      <c r="F295" s="815"/>
      <c r="G295" s="815"/>
      <c r="H295" s="815"/>
      <c r="I295" s="815"/>
      <c r="J295" s="815"/>
      <c r="K295" s="873"/>
    </row>
    <row r="296" spans="1:11" ht="11.25">
      <c r="A296" s="815"/>
      <c r="B296" s="815"/>
      <c r="C296" s="815"/>
      <c r="D296" s="815"/>
      <c r="E296" s="815"/>
      <c r="F296" s="815"/>
      <c r="G296" s="815"/>
      <c r="H296" s="815"/>
      <c r="I296" s="815"/>
      <c r="J296" s="815"/>
      <c r="K296" s="873"/>
    </row>
    <row r="297" spans="1:11" ht="11.25">
      <c r="A297" s="815"/>
      <c r="B297" s="815"/>
      <c r="C297" s="815"/>
      <c r="D297" s="815"/>
      <c r="E297" s="815"/>
      <c r="F297" s="815"/>
      <c r="G297" s="815"/>
      <c r="H297" s="815"/>
      <c r="I297" s="815"/>
      <c r="J297" s="815"/>
      <c r="K297" s="873"/>
    </row>
    <row r="298" spans="1:11" ht="11.25">
      <c r="A298" s="815"/>
      <c r="B298" s="815"/>
      <c r="C298" s="815"/>
      <c r="D298" s="815"/>
      <c r="E298" s="815"/>
      <c r="F298" s="815"/>
      <c r="G298" s="815"/>
      <c r="H298" s="815"/>
      <c r="I298" s="815"/>
      <c r="J298" s="815"/>
      <c r="K298" s="873"/>
    </row>
    <row r="299" spans="1:11" ht="11.25">
      <c r="A299" s="815"/>
      <c r="B299" s="815"/>
      <c r="C299" s="815"/>
      <c r="D299" s="815"/>
      <c r="E299" s="815"/>
      <c r="F299" s="815"/>
      <c r="G299" s="815"/>
      <c r="H299" s="815"/>
      <c r="I299" s="815"/>
      <c r="J299" s="815"/>
      <c r="K299" s="873"/>
    </row>
    <row r="300" spans="1:11" ht="11.25">
      <c r="A300" s="815"/>
      <c r="B300" s="815"/>
      <c r="C300" s="815"/>
      <c r="D300" s="815"/>
      <c r="E300" s="815"/>
      <c r="F300" s="815"/>
      <c r="G300" s="815"/>
      <c r="H300" s="815"/>
      <c r="I300" s="815"/>
      <c r="J300" s="815"/>
      <c r="K300" s="873"/>
    </row>
    <row r="301" spans="1:11" ht="11.25">
      <c r="A301" s="815"/>
      <c r="B301" s="815"/>
      <c r="C301" s="815"/>
      <c r="D301" s="815"/>
      <c r="E301" s="815"/>
      <c r="F301" s="815"/>
      <c r="G301" s="815"/>
      <c r="H301" s="815"/>
      <c r="I301" s="815"/>
      <c r="J301" s="815"/>
      <c r="K301" s="873"/>
    </row>
    <row r="302" spans="1:11" ht="11.25">
      <c r="A302" s="815"/>
      <c r="B302" s="815"/>
      <c r="C302" s="815"/>
      <c r="D302" s="815"/>
      <c r="E302" s="815"/>
      <c r="F302" s="815"/>
      <c r="G302" s="815"/>
      <c r="H302" s="815"/>
      <c r="I302" s="815"/>
      <c r="J302" s="815"/>
      <c r="K302" s="873"/>
    </row>
    <row r="303" spans="1:11" ht="11.25">
      <c r="A303" s="815"/>
      <c r="B303" s="815"/>
      <c r="C303" s="815"/>
      <c r="D303" s="815"/>
      <c r="E303" s="815"/>
      <c r="F303" s="815"/>
      <c r="G303" s="815"/>
      <c r="H303" s="815"/>
      <c r="I303" s="815"/>
      <c r="J303" s="815"/>
      <c r="K303" s="873"/>
    </row>
    <row r="304" spans="1:11" ht="11.25">
      <c r="A304" s="815"/>
      <c r="B304" s="815"/>
      <c r="C304" s="815"/>
      <c r="D304" s="815"/>
      <c r="E304" s="815"/>
      <c r="F304" s="815"/>
      <c r="G304" s="815"/>
      <c r="H304" s="815"/>
      <c r="I304" s="815"/>
      <c r="J304" s="815"/>
      <c r="K304" s="873"/>
    </row>
    <row r="305" spans="1:11" ht="11.25">
      <c r="A305" s="815"/>
      <c r="B305" s="815"/>
      <c r="C305" s="815"/>
      <c r="D305" s="815"/>
      <c r="E305" s="815"/>
      <c r="F305" s="815"/>
      <c r="G305" s="815"/>
      <c r="H305" s="815"/>
      <c r="I305" s="815"/>
      <c r="J305" s="815"/>
      <c r="K305" s="873"/>
    </row>
    <row r="306" spans="1:11" ht="11.25">
      <c r="A306" s="815"/>
      <c r="B306" s="815"/>
      <c r="C306" s="815"/>
      <c r="D306" s="815"/>
      <c r="E306" s="815"/>
      <c r="F306" s="815"/>
      <c r="G306" s="815"/>
      <c r="H306" s="815"/>
      <c r="I306" s="815"/>
      <c r="J306" s="815"/>
      <c r="K306" s="873"/>
    </row>
    <row r="307" spans="1:11" ht="11.25">
      <c r="A307" s="815"/>
      <c r="B307" s="815"/>
      <c r="C307" s="815"/>
      <c r="D307" s="815"/>
      <c r="E307" s="815"/>
      <c r="F307" s="815"/>
      <c r="G307" s="815"/>
      <c r="H307" s="815"/>
      <c r="I307" s="815"/>
      <c r="J307" s="815"/>
      <c r="K307" s="873"/>
    </row>
    <row r="308" spans="1:11" ht="11.25">
      <c r="A308" s="815"/>
      <c r="B308" s="815"/>
      <c r="C308" s="815"/>
      <c r="D308" s="815"/>
      <c r="E308" s="815"/>
      <c r="F308" s="815"/>
      <c r="G308" s="815"/>
      <c r="H308" s="815"/>
      <c r="I308" s="815"/>
      <c r="J308" s="815"/>
      <c r="K308" s="873"/>
    </row>
    <row r="309" spans="1:11" ht="11.25">
      <c r="A309" s="815"/>
      <c r="B309" s="815"/>
      <c r="C309" s="815"/>
      <c r="D309" s="815"/>
      <c r="E309" s="815"/>
      <c r="F309" s="815"/>
      <c r="G309" s="815"/>
      <c r="H309" s="815"/>
      <c r="I309" s="815"/>
      <c r="J309" s="815"/>
      <c r="K309" s="873"/>
    </row>
    <row r="310" spans="1:11" ht="11.25">
      <c r="A310" s="815"/>
      <c r="B310" s="815"/>
      <c r="C310" s="815"/>
      <c r="D310" s="815"/>
      <c r="E310" s="815"/>
      <c r="F310" s="815"/>
      <c r="G310" s="815"/>
      <c r="H310" s="815"/>
      <c r="I310" s="815"/>
      <c r="J310" s="815"/>
      <c r="K310" s="873"/>
    </row>
    <row r="311" spans="1:11" ht="11.25">
      <c r="A311" s="815"/>
      <c r="B311" s="815"/>
      <c r="C311" s="815"/>
      <c r="D311" s="815"/>
      <c r="E311" s="815"/>
      <c r="F311" s="815"/>
      <c r="G311" s="815"/>
      <c r="H311" s="815"/>
      <c r="I311" s="815"/>
      <c r="J311" s="815"/>
      <c r="K311" s="873"/>
    </row>
    <row r="312" spans="1:11" ht="11.25">
      <c r="A312" s="815"/>
      <c r="B312" s="815"/>
      <c r="C312" s="815"/>
      <c r="D312" s="815"/>
      <c r="E312" s="815"/>
      <c r="F312" s="815"/>
      <c r="G312" s="815"/>
      <c r="H312" s="815"/>
      <c r="I312" s="815"/>
      <c r="J312" s="815"/>
      <c r="K312" s="873"/>
    </row>
    <row r="313" spans="1:11" ht="11.25">
      <c r="A313" s="815"/>
      <c r="B313" s="815"/>
      <c r="C313" s="815"/>
      <c r="D313" s="815"/>
      <c r="E313" s="815"/>
      <c r="F313" s="815"/>
      <c r="G313" s="815"/>
      <c r="H313" s="815"/>
      <c r="I313" s="815"/>
      <c r="J313" s="815"/>
      <c r="K313" s="873"/>
    </row>
    <row r="314" spans="1:11" ht="11.25">
      <c r="A314" s="815"/>
      <c r="B314" s="815"/>
      <c r="C314" s="815"/>
      <c r="D314" s="815"/>
      <c r="E314" s="815"/>
      <c r="F314" s="815"/>
      <c r="G314" s="815"/>
      <c r="H314" s="815"/>
      <c r="I314" s="815"/>
      <c r="J314" s="815"/>
      <c r="K314" s="873"/>
    </row>
    <row r="315" spans="1:11" ht="11.25">
      <c r="A315" s="815"/>
      <c r="B315" s="815"/>
      <c r="C315" s="815"/>
      <c r="D315" s="815"/>
      <c r="E315" s="815"/>
      <c r="F315" s="815"/>
      <c r="G315" s="815"/>
      <c r="H315" s="815"/>
      <c r="I315" s="815"/>
      <c r="J315" s="815"/>
      <c r="K315" s="873"/>
    </row>
    <row r="316" spans="1:11" ht="11.25">
      <c r="A316" s="815"/>
      <c r="B316" s="815"/>
      <c r="C316" s="815"/>
      <c r="D316" s="815"/>
      <c r="E316" s="815"/>
      <c r="F316" s="815"/>
      <c r="G316" s="815"/>
      <c r="H316" s="815"/>
      <c r="I316" s="815"/>
      <c r="J316" s="815"/>
      <c r="K316" s="873"/>
    </row>
    <row r="317" spans="1:11" ht="11.25">
      <c r="A317" s="815"/>
      <c r="B317" s="815"/>
      <c r="C317" s="815"/>
      <c r="D317" s="815"/>
      <c r="E317" s="815"/>
      <c r="F317" s="815"/>
      <c r="G317" s="815"/>
      <c r="H317" s="815"/>
      <c r="I317" s="815"/>
      <c r="J317" s="815"/>
      <c r="K317" s="873"/>
    </row>
    <row r="318" spans="1:11" ht="11.25">
      <c r="A318" s="815"/>
      <c r="B318" s="815"/>
      <c r="C318" s="815"/>
      <c r="D318" s="815"/>
      <c r="E318" s="815"/>
      <c r="F318" s="815"/>
      <c r="G318" s="815"/>
      <c r="H318" s="815"/>
      <c r="I318" s="815"/>
      <c r="J318" s="815"/>
      <c r="K318" s="873"/>
    </row>
    <row r="319" spans="1:11" ht="11.25">
      <c r="A319" s="815"/>
      <c r="B319" s="815"/>
      <c r="C319" s="815"/>
      <c r="D319" s="815"/>
      <c r="E319" s="815"/>
      <c r="F319" s="815"/>
      <c r="G319" s="815"/>
      <c r="H319" s="815"/>
      <c r="I319" s="815"/>
      <c r="J319" s="815"/>
      <c r="K319" s="873"/>
    </row>
    <row r="320" spans="1:11" ht="11.25">
      <c r="A320" s="815"/>
      <c r="B320" s="815"/>
      <c r="C320" s="815"/>
      <c r="D320" s="815"/>
      <c r="E320" s="815"/>
      <c r="F320" s="815"/>
      <c r="G320" s="815"/>
      <c r="H320" s="815"/>
      <c r="I320" s="815"/>
      <c r="J320" s="815"/>
      <c r="K320" s="873"/>
    </row>
    <row r="321" spans="1:11" ht="11.25">
      <c r="A321" s="815"/>
      <c r="B321" s="815"/>
      <c r="C321" s="815"/>
      <c r="D321" s="815"/>
      <c r="E321" s="815"/>
      <c r="F321" s="815"/>
      <c r="G321" s="815"/>
      <c r="H321" s="815"/>
      <c r="I321" s="815"/>
      <c r="J321" s="815"/>
      <c r="K321" s="873"/>
    </row>
    <row r="322" spans="1:11" ht="11.25">
      <c r="A322" s="815"/>
      <c r="B322" s="815"/>
      <c r="C322" s="815"/>
      <c r="D322" s="815"/>
      <c r="E322" s="815"/>
      <c r="F322" s="815"/>
      <c r="G322" s="815"/>
      <c r="H322" s="815"/>
      <c r="I322" s="815"/>
      <c r="J322" s="815"/>
      <c r="K322" s="873"/>
    </row>
    <row r="323" spans="1:11" ht="11.25">
      <c r="A323" s="815"/>
      <c r="B323" s="815"/>
      <c r="C323" s="815"/>
      <c r="D323" s="815"/>
      <c r="E323" s="815"/>
      <c r="F323" s="815"/>
      <c r="G323" s="815"/>
      <c r="H323" s="815"/>
      <c r="I323" s="815"/>
      <c r="J323" s="815"/>
      <c r="K323" s="873"/>
    </row>
    <row r="324" spans="1:11" ht="11.25">
      <c r="A324" s="815"/>
      <c r="B324" s="815"/>
      <c r="C324" s="815"/>
      <c r="D324" s="815"/>
      <c r="E324" s="815"/>
      <c r="F324" s="815"/>
      <c r="G324" s="815"/>
      <c r="H324" s="815"/>
      <c r="I324" s="815"/>
      <c r="J324" s="815"/>
      <c r="K324" s="873"/>
    </row>
    <row r="325" spans="1:11" ht="11.25">
      <c r="A325" s="815"/>
      <c r="B325" s="815"/>
      <c r="C325" s="815"/>
      <c r="D325" s="815"/>
      <c r="E325" s="815"/>
      <c r="F325" s="815"/>
      <c r="G325" s="815"/>
      <c r="H325" s="815"/>
      <c r="I325" s="815"/>
      <c r="J325" s="815"/>
      <c r="K325" s="873"/>
    </row>
    <row r="326" spans="1:11" ht="11.25">
      <c r="A326" s="815"/>
      <c r="B326" s="815"/>
      <c r="C326" s="815"/>
      <c r="D326" s="815"/>
      <c r="E326" s="815"/>
      <c r="F326" s="815"/>
      <c r="G326" s="815"/>
      <c r="H326" s="815"/>
      <c r="I326" s="815"/>
      <c r="J326" s="815"/>
      <c r="K326" s="873"/>
    </row>
    <row r="327" spans="1:11" ht="11.25">
      <c r="A327" s="815"/>
      <c r="B327" s="815"/>
      <c r="C327" s="815"/>
      <c r="D327" s="815"/>
      <c r="E327" s="815"/>
      <c r="F327" s="815"/>
      <c r="G327" s="815"/>
      <c r="H327" s="815"/>
      <c r="I327" s="815"/>
      <c r="J327" s="815"/>
      <c r="K327" s="873"/>
    </row>
    <row r="328" spans="1:11" ht="11.25">
      <c r="A328" s="815"/>
      <c r="B328" s="815"/>
      <c r="C328" s="815"/>
      <c r="D328" s="815"/>
      <c r="E328" s="815"/>
      <c r="F328" s="815"/>
      <c r="G328" s="815"/>
      <c r="H328" s="815"/>
      <c r="I328" s="815"/>
      <c r="J328" s="815"/>
      <c r="K328" s="873"/>
    </row>
    <row r="329" spans="1:11" ht="11.25">
      <c r="A329" s="815"/>
      <c r="B329" s="815"/>
      <c r="C329" s="815"/>
      <c r="D329" s="815"/>
      <c r="E329" s="815"/>
      <c r="F329" s="815"/>
      <c r="G329" s="815"/>
      <c r="H329" s="815"/>
      <c r="I329" s="815"/>
      <c r="J329" s="815"/>
      <c r="K329" s="873"/>
    </row>
    <row r="330" spans="1:11" ht="11.25">
      <c r="A330" s="815"/>
      <c r="B330" s="815"/>
      <c r="C330" s="815"/>
      <c r="D330" s="815"/>
      <c r="E330" s="815"/>
      <c r="F330" s="815"/>
      <c r="G330" s="815"/>
      <c r="H330" s="815"/>
      <c r="I330" s="815"/>
      <c r="J330" s="815"/>
      <c r="K330" s="873"/>
    </row>
    <row r="331" spans="1:11" ht="11.25">
      <c r="A331" s="815"/>
      <c r="B331" s="815"/>
      <c r="C331" s="815"/>
      <c r="D331" s="815"/>
      <c r="E331" s="815"/>
      <c r="F331" s="815"/>
      <c r="G331" s="815"/>
      <c r="H331" s="815"/>
      <c r="I331" s="815"/>
      <c r="J331" s="815"/>
      <c r="K331" s="873"/>
    </row>
    <row r="332" spans="1:11" ht="11.25">
      <c r="A332" s="815"/>
      <c r="B332" s="815"/>
      <c r="C332" s="815"/>
      <c r="D332" s="815"/>
      <c r="E332" s="815"/>
      <c r="F332" s="815"/>
      <c r="G332" s="815"/>
      <c r="H332" s="815"/>
      <c r="I332" s="815"/>
      <c r="J332" s="815"/>
      <c r="K332" s="873"/>
    </row>
    <row r="333" spans="1:11" ht="11.25">
      <c r="A333" s="815"/>
      <c r="B333" s="815"/>
      <c r="C333" s="815"/>
      <c r="D333" s="815"/>
      <c r="E333" s="815"/>
      <c r="F333" s="815"/>
      <c r="G333" s="815"/>
      <c r="H333" s="815"/>
      <c r="I333" s="815"/>
      <c r="J333" s="815"/>
      <c r="K333" s="873"/>
    </row>
    <row r="334" spans="1:11" ht="11.25">
      <c r="A334" s="815"/>
      <c r="B334" s="815"/>
      <c r="C334" s="815"/>
      <c r="D334" s="815"/>
      <c r="E334" s="815"/>
      <c r="F334" s="815"/>
      <c r="G334" s="815"/>
      <c r="H334" s="815"/>
      <c r="I334" s="815"/>
      <c r="J334" s="815"/>
      <c r="K334" s="873"/>
    </row>
    <row r="335" spans="1:11" ht="11.25">
      <c r="A335" s="815"/>
      <c r="B335" s="815"/>
      <c r="C335" s="815"/>
      <c r="D335" s="815"/>
      <c r="E335" s="815"/>
      <c r="F335" s="815"/>
      <c r="G335" s="815"/>
      <c r="H335" s="815"/>
      <c r="I335" s="815"/>
      <c r="J335" s="815"/>
      <c r="K335" s="873"/>
    </row>
    <row r="336" spans="1:11" ht="11.25">
      <c r="A336" s="815"/>
      <c r="B336" s="815"/>
      <c r="C336" s="815"/>
      <c r="D336" s="815"/>
      <c r="E336" s="815"/>
      <c r="F336" s="815"/>
      <c r="G336" s="815"/>
      <c r="H336" s="815"/>
      <c r="I336" s="815"/>
      <c r="J336" s="815"/>
      <c r="K336" s="873"/>
    </row>
    <row r="337" spans="1:11" ht="11.25">
      <c r="A337" s="815"/>
      <c r="B337" s="815"/>
      <c r="C337" s="815"/>
      <c r="D337" s="815"/>
      <c r="E337" s="815"/>
      <c r="F337" s="815"/>
      <c r="G337" s="815"/>
      <c r="H337" s="815"/>
      <c r="I337" s="815"/>
      <c r="J337" s="815"/>
      <c r="K337" s="873"/>
    </row>
    <row r="338" spans="1:11" ht="11.25">
      <c r="A338" s="815"/>
      <c r="B338" s="815"/>
      <c r="C338" s="815"/>
      <c r="D338" s="815"/>
      <c r="E338" s="815"/>
      <c r="F338" s="815"/>
      <c r="G338" s="815"/>
      <c r="H338" s="815"/>
      <c r="I338" s="815"/>
      <c r="J338" s="815"/>
      <c r="K338" s="873"/>
    </row>
    <row r="339" spans="1:11" ht="11.25">
      <c r="A339" s="815"/>
      <c r="B339" s="815"/>
      <c r="C339" s="815"/>
      <c r="D339" s="815"/>
      <c r="E339" s="815"/>
      <c r="F339" s="815"/>
      <c r="G339" s="815"/>
      <c r="H339" s="815"/>
      <c r="I339" s="815"/>
      <c r="J339" s="815"/>
      <c r="K339" s="873"/>
    </row>
    <row r="340" spans="1:11" ht="11.25">
      <c r="A340" s="815"/>
      <c r="B340" s="815"/>
      <c r="C340" s="815"/>
      <c r="D340" s="815"/>
      <c r="E340" s="815"/>
      <c r="F340" s="815"/>
      <c r="G340" s="815"/>
      <c r="H340" s="815"/>
      <c r="I340" s="815"/>
      <c r="J340" s="815"/>
      <c r="K340" s="873"/>
    </row>
    <row r="341" spans="1:11" ht="11.25">
      <c r="A341" s="815"/>
      <c r="B341" s="815"/>
      <c r="C341" s="815"/>
      <c r="D341" s="815"/>
      <c r="E341" s="815"/>
      <c r="F341" s="815"/>
      <c r="G341" s="815"/>
      <c r="H341" s="815"/>
      <c r="I341" s="815"/>
      <c r="J341" s="815"/>
      <c r="K341" s="873"/>
    </row>
    <row r="342" spans="1:11" ht="11.25">
      <c r="A342" s="815"/>
      <c r="B342" s="815"/>
      <c r="C342" s="815"/>
      <c r="D342" s="815"/>
      <c r="E342" s="815"/>
      <c r="F342" s="815"/>
      <c r="G342" s="815"/>
      <c r="H342" s="815"/>
      <c r="I342" s="815"/>
      <c r="J342" s="815"/>
      <c r="K342" s="873"/>
    </row>
    <row r="343" spans="1:11" ht="11.25">
      <c r="A343" s="815"/>
      <c r="B343" s="815"/>
      <c r="C343" s="815"/>
      <c r="D343" s="815"/>
      <c r="E343" s="815"/>
      <c r="F343" s="815"/>
      <c r="G343" s="815"/>
      <c r="H343" s="815"/>
      <c r="I343" s="815"/>
      <c r="J343" s="815"/>
      <c r="K343" s="873"/>
    </row>
    <row r="344" spans="1:11" ht="11.25">
      <c r="A344" s="815"/>
      <c r="B344" s="815"/>
      <c r="C344" s="815"/>
      <c r="D344" s="815"/>
      <c r="E344" s="815"/>
      <c r="F344" s="815"/>
      <c r="G344" s="815"/>
      <c r="H344" s="815"/>
      <c r="I344" s="815"/>
      <c r="J344" s="815"/>
      <c r="K344" s="873"/>
    </row>
    <row r="345" spans="1:11" ht="11.25">
      <c r="A345" s="815"/>
      <c r="B345" s="815"/>
      <c r="C345" s="815"/>
      <c r="D345" s="815"/>
      <c r="E345" s="815"/>
      <c r="F345" s="815"/>
      <c r="G345" s="815"/>
      <c r="H345" s="815"/>
      <c r="I345" s="815"/>
      <c r="J345" s="815"/>
      <c r="K345" s="873"/>
    </row>
    <row r="346" spans="1:11" ht="11.25">
      <c r="A346" s="815"/>
      <c r="B346" s="815"/>
      <c r="C346" s="815"/>
      <c r="D346" s="815"/>
      <c r="E346" s="815"/>
      <c r="F346" s="815"/>
      <c r="G346" s="815"/>
      <c r="H346" s="815"/>
      <c r="I346" s="815"/>
      <c r="J346" s="815"/>
      <c r="K346" s="873"/>
    </row>
    <row r="347" spans="1:11" ht="11.25">
      <c r="A347" s="815"/>
      <c r="B347" s="815"/>
      <c r="C347" s="815"/>
      <c r="D347" s="815"/>
      <c r="E347" s="815"/>
      <c r="F347" s="815"/>
      <c r="G347" s="815"/>
      <c r="H347" s="815"/>
      <c r="I347" s="815"/>
      <c r="J347" s="815"/>
      <c r="K347" s="873"/>
    </row>
    <row r="348" spans="1:11" ht="11.25">
      <c r="A348" s="815"/>
      <c r="B348" s="815"/>
      <c r="C348" s="815"/>
      <c r="D348" s="815"/>
      <c r="E348" s="815"/>
      <c r="F348" s="815"/>
      <c r="G348" s="815"/>
      <c r="H348" s="815"/>
      <c r="I348" s="815"/>
      <c r="J348" s="815"/>
      <c r="K348" s="873"/>
    </row>
    <row r="349" spans="1:11" ht="11.25">
      <c r="A349" s="815"/>
      <c r="B349" s="815"/>
      <c r="C349" s="815"/>
      <c r="D349" s="815"/>
      <c r="E349" s="815"/>
      <c r="F349" s="815"/>
      <c r="G349" s="815"/>
      <c r="H349" s="815"/>
      <c r="I349" s="815"/>
      <c r="J349" s="815"/>
      <c r="K349" s="873"/>
    </row>
    <row r="350" spans="1:11" ht="11.25">
      <c r="A350" s="815"/>
      <c r="B350" s="815"/>
      <c r="C350" s="815"/>
      <c r="D350" s="815"/>
      <c r="E350" s="815"/>
      <c r="F350" s="815"/>
      <c r="G350" s="815"/>
      <c r="H350" s="815"/>
      <c r="I350" s="815"/>
      <c r="J350" s="815"/>
      <c r="K350" s="873"/>
    </row>
    <row r="351" spans="1:11" ht="11.25">
      <c r="A351" s="815"/>
      <c r="B351" s="815"/>
      <c r="C351" s="815"/>
      <c r="D351" s="815"/>
      <c r="E351" s="815"/>
      <c r="F351" s="815"/>
      <c r="G351" s="815"/>
      <c r="H351" s="815"/>
      <c r="I351" s="815"/>
      <c r="J351" s="815"/>
      <c r="K351" s="873"/>
    </row>
    <row r="352" spans="1:11" ht="11.25">
      <c r="A352" s="815"/>
      <c r="B352" s="815"/>
      <c r="C352" s="815"/>
      <c r="D352" s="815"/>
      <c r="E352" s="815"/>
      <c r="F352" s="815"/>
      <c r="G352" s="815"/>
      <c r="H352" s="815"/>
      <c r="I352" s="815"/>
      <c r="J352" s="815"/>
      <c r="K352" s="873"/>
    </row>
    <row r="353" spans="1:11" ht="11.25">
      <c r="A353" s="815"/>
      <c r="B353" s="815"/>
      <c r="C353" s="815"/>
      <c r="D353" s="815"/>
      <c r="E353" s="815"/>
      <c r="F353" s="815"/>
      <c r="G353" s="815"/>
      <c r="H353" s="815"/>
      <c r="I353" s="815"/>
      <c r="J353" s="815"/>
      <c r="K353" s="873"/>
    </row>
    <row r="354" spans="1:11" ht="11.25">
      <c r="A354" s="815"/>
      <c r="B354" s="815"/>
      <c r="C354" s="815"/>
      <c r="D354" s="815"/>
      <c r="E354" s="815"/>
      <c r="F354" s="815"/>
      <c r="G354" s="815"/>
      <c r="H354" s="815"/>
      <c r="I354" s="815"/>
      <c r="J354" s="815"/>
      <c r="K354" s="873"/>
    </row>
    <row r="355" spans="1:11" ht="11.25">
      <c r="A355" s="815"/>
      <c r="B355" s="815"/>
      <c r="C355" s="815"/>
      <c r="D355" s="815"/>
      <c r="E355" s="815"/>
      <c r="F355" s="815"/>
      <c r="G355" s="815"/>
      <c r="H355" s="815"/>
      <c r="I355" s="815"/>
      <c r="J355" s="815"/>
      <c r="K355" s="873"/>
    </row>
    <row r="356" spans="1:11" ht="11.25">
      <c r="A356" s="815"/>
      <c r="B356" s="815"/>
      <c r="C356" s="815"/>
      <c r="D356" s="815"/>
      <c r="E356" s="815"/>
      <c r="F356" s="815"/>
      <c r="G356" s="815"/>
      <c r="H356" s="815"/>
      <c r="I356" s="815"/>
      <c r="J356" s="815"/>
      <c r="K356" s="873"/>
    </row>
    <row r="357" spans="1:11" ht="11.25">
      <c r="A357" s="815"/>
      <c r="B357" s="815"/>
      <c r="C357" s="815"/>
      <c r="D357" s="815"/>
      <c r="E357" s="815"/>
      <c r="F357" s="815"/>
      <c r="G357" s="815"/>
      <c r="H357" s="815"/>
      <c r="I357" s="815"/>
      <c r="J357" s="815"/>
      <c r="K357" s="873"/>
    </row>
    <row r="358" spans="1:11" ht="11.25">
      <c r="A358" s="815"/>
      <c r="B358" s="815"/>
      <c r="C358" s="815"/>
      <c r="D358" s="815"/>
      <c r="E358" s="815"/>
      <c r="F358" s="815"/>
      <c r="G358" s="815"/>
      <c r="H358" s="815"/>
      <c r="I358" s="815"/>
      <c r="J358" s="815"/>
      <c r="K358" s="873"/>
    </row>
    <row r="359" spans="1:11" ht="11.25">
      <c r="A359" s="815"/>
      <c r="B359" s="815"/>
      <c r="C359" s="815"/>
      <c r="D359" s="815"/>
      <c r="E359" s="815"/>
      <c r="F359" s="815"/>
      <c r="G359" s="815"/>
      <c r="H359" s="815"/>
      <c r="I359" s="815"/>
      <c r="J359" s="815"/>
      <c r="K359" s="873"/>
    </row>
    <row r="360" spans="1:11" ht="11.25">
      <c r="A360" s="815"/>
      <c r="B360" s="815"/>
      <c r="C360" s="815"/>
      <c r="D360" s="815"/>
      <c r="E360" s="815"/>
      <c r="F360" s="815"/>
      <c r="G360" s="815"/>
      <c r="H360" s="815"/>
      <c r="I360" s="815"/>
      <c r="J360" s="815"/>
      <c r="K360" s="873"/>
    </row>
    <row r="361" spans="1:11" ht="11.25">
      <c r="A361" s="815"/>
      <c r="B361" s="815"/>
      <c r="C361" s="815"/>
      <c r="D361" s="815"/>
      <c r="E361" s="815"/>
      <c r="F361" s="815"/>
      <c r="G361" s="815"/>
      <c r="H361" s="815"/>
      <c r="I361" s="815"/>
      <c r="J361" s="815"/>
      <c r="K361" s="873"/>
    </row>
    <row r="362" spans="1:11" ht="11.25">
      <c r="A362" s="815"/>
      <c r="B362" s="815"/>
      <c r="C362" s="815"/>
      <c r="D362" s="815"/>
      <c r="E362" s="815"/>
      <c r="F362" s="815"/>
      <c r="G362" s="815"/>
      <c r="H362" s="815"/>
      <c r="I362" s="815"/>
      <c r="J362" s="815"/>
      <c r="K362" s="873"/>
    </row>
    <row r="363" spans="1:11" ht="11.25">
      <c r="A363" s="815"/>
      <c r="B363" s="815"/>
      <c r="C363" s="815"/>
      <c r="D363" s="815"/>
      <c r="E363" s="815"/>
      <c r="F363" s="815"/>
      <c r="G363" s="815"/>
      <c r="H363" s="815"/>
      <c r="I363" s="815"/>
      <c r="J363" s="815"/>
      <c r="K363" s="873"/>
    </row>
    <row r="364" spans="1:11" ht="11.25">
      <c r="A364" s="815"/>
      <c r="B364" s="815"/>
      <c r="C364" s="815"/>
      <c r="D364" s="815"/>
      <c r="E364" s="815"/>
      <c r="F364" s="815"/>
      <c r="G364" s="815"/>
      <c r="H364" s="815"/>
      <c r="I364" s="815"/>
      <c r="J364" s="815"/>
      <c r="K364" s="873"/>
    </row>
    <row r="365" spans="1:11" ht="11.25">
      <c r="A365" s="815"/>
      <c r="B365" s="815"/>
      <c r="C365" s="815"/>
      <c r="D365" s="815"/>
      <c r="E365" s="815"/>
      <c r="F365" s="815"/>
      <c r="G365" s="815"/>
      <c r="H365" s="815"/>
      <c r="I365" s="815"/>
      <c r="J365" s="815"/>
      <c r="K365" s="873"/>
    </row>
    <row r="366" spans="1:11" ht="11.25">
      <c r="A366" s="815"/>
      <c r="B366" s="815"/>
      <c r="C366" s="815"/>
      <c r="D366" s="815"/>
      <c r="E366" s="815"/>
      <c r="F366" s="815"/>
      <c r="G366" s="815"/>
      <c r="H366" s="815"/>
      <c r="I366" s="815"/>
      <c r="J366" s="815"/>
      <c r="K366" s="873"/>
    </row>
    <row r="367" spans="1:11" ht="11.25">
      <c r="A367" s="815"/>
      <c r="B367" s="815"/>
      <c r="C367" s="815"/>
      <c r="D367" s="815"/>
      <c r="E367" s="815"/>
      <c r="F367" s="815"/>
      <c r="G367" s="815"/>
      <c r="H367" s="815"/>
      <c r="I367" s="815"/>
      <c r="J367" s="815"/>
      <c r="K367" s="873"/>
    </row>
    <row r="368" spans="1:11" ht="11.25">
      <c r="A368" s="815"/>
      <c r="B368" s="815"/>
      <c r="C368" s="815"/>
      <c r="D368" s="815"/>
      <c r="E368" s="815"/>
      <c r="F368" s="815"/>
      <c r="G368" s="815"/>
      <c r="H368" s="815"/>
      <c r="I368" s="815"/>
      <c r="J368" s="815"/>
      <c r="K368" s="873"/>
    </row>
    <row r="369" spans="1:11" ht="11.25">
      <c r="A369" s="815"/>
      <c r="B369" s="815"/>
      <c r="C369" s="815"/>
      <c r="D369" s="815"/>
      <c r="E369" s="815"/>
      <c r="F369" s="815"/>
      <c r="G369" s="815"/>
      <c r="H369" s="815"/>
      <c r="I369" s="815"/>
      <c r="J369" s="815"/>
      <c r="K369" s="873"/>
    </row>
    <row r="370" spans="1:11" ht="11.25">
      <c r="A370" s="815"/>
      <c r="B370" s="815"/>
      <c r="C370" s="815"/>
      <c r="D370" s="815"/>
      <c r="E370" s="815"/>
      <c r="F370" s="815"/>
      <c r="G370" s="815"/>
      <c r="H370" s="815"/>
      <c r="I370" s="815"/>
      <c r="J370" s="815"/>
      <c r="K370" s="873"/>
    </row>
    <row r="371" spans="1:11" ht="11.25">
      <c r="A371" s="815"/>
      <c r="B371" s="815"/>
      <c r="C371" s="815"/>
      <c r="D371" s="815"/>
      <c r="E371" s="815"/>
      <c r="F371" s="815"/>
      <c r="G371" s="815"/>
      <c r="H371" s="815"/>
      <c r="I371" s="815"/>
      <c r="J371" s="815"/>
      <c r="K371" s="873"/>
    </row>
    <row r="372" spans="1:11" ht="11.25">
      <c r="A372" s="815"/>
      <c r="B372" s="815"/>
      <c r="C372" s="815"/>
      <c r="D372" s="815"/>
      <c r="E372" s="815"/>
      <c r="F372" s="815"/>
      <c r="G372" s="815"/>
      <c r="H372" s="815"/>
      <c r="I372" s="815"/>
      <c r="J372" s="815"/>
      <c r="K372" s="873"/>
    </row>
    <row r="373" spans="1:11" ht="11.25">
      <c r="A373" s="815"/>
      <c r="B373" s="815"/>
      <c r="C373" s="815"/>
      <c r="D373" s="815"/>
      <c r="E373" s="815"/>
      <c r="F373" s="815"/>
      <c r="G373" s="815"/>
      <c r="H373" s="815"/>
      <c r="I373" s="815"/>
      <c r="J373" s="815"/>
      <c r="K373" s="873"/>
    </row>
    <row r="374" spans="1:11" ht="11.25">
      <c r="A374" s="815"/>
      <c r="B374" s="815"/>
      <c r="C374" s="815"/>
      <c r="D374" s="815"/>
      <c r="E374" s="815"/>
      <c r="F374" s="815"/>
      <c r="G374" s="815"/>
      <c r="H374" s="815"/>
      <c r="I374" s="815"/>
      <c r="J374" s="815"/>
      <c r="K374" s="873"/>
    </row>
    <row r="375" spans="1:11" ht="11.25">
      <c r="A375" s="815"/>
      <c r="B375" s="815"/>
      <c r="C375" s="815"/>
      <c r="D375" s="815"/>
      <c r="E375" s="815"/>
      <c r="F375" s="815"/>
      <c r="G375" s="815"/>
      <c r="H375" s="815"/>
      <c r="I375" s="815"/>
      <c r="J375" s="815"/>
      <c r="K375" s="873"/>
    </row>
    <row r="376" spans="1:11" ht="11.25">
      <c r="A376" s="815"/>
      <c r="B376" s="815"/>
      <c r="C376" s="815"/>
      <c r="D376" s="815"/>
      <c r="E376" s="815"/>
      <c r="F376" s="815"/>
      <c r="G376" s="815"/>
      <c r="H376" s="815"/>
      <c r="I376" s="815"/>
      <c r="J376" s="815"/>
      <c r="K376" s="873"/>
    </row>
    <row r="377" spans="1:11" ht="11.25">
      <c r="A377" s="815"/>
      <c r="B377" s="815"/>
      <c r="C377" s="815"/>
      <c r="D377" s="815"/>
      <c r="E377" s="815"/>
      <c r="F377" s="815"/>
      <c r="G377" s="815"/>
      <c r="H377" s="815"/>
      <c r="I377" s="815"/>
      <c r="J377" s="815"/>
      <c r="K377" s="873"/>
    </row>
    <row r="378" spans="1:11" ht="11.25">
      <c r="A378" s="815"/>
      <c r="B378" s="815"/>
      <c r="C378" s="815"/>
      <c r="D378" s="815"/>
      <c r="E378" s="815"/>
      <c r="F378" s="815"/>
      <c r="G378" s="815"/>
      <c r="H378" s="815"/>
      <c r="I378" s="815"/>
      <c r="J378" s="815"/>
      <c r="K378" s="873"/>
    </row>
    <row r="379" spans="1:11" ht="11.25">
      <c r="A379" s="815"/>
      <c r="B379" s="815"/>
      <c r="C379" s="815"/>
      <c r="D379" s="815"/>
      <c r="E379" s="815"/>
      <c r="F379" s="815"/>
      <c r="G379" s="815"/>
      <c r="H379" s="815"/>
      <c r="I379" s="815"/>
      <c r="J379" s="815"/>
      <c r="K379" s="873"/>
    </row>
    <row r="380" spans="1:11" ht="11.25">
      <c r="A380" s="815"/>
      <c r="B380" s="815"/>
      <c r="C380" s="815"/>
      <c r="D380" s="815"/>
      <c r="E380" s="815"/>
      <c r="F380" s="815"/>
      <c r="G380" s="815"/>
      <c r="H380" s="815"/>
      <c r="I380" s="815"/>
      <c r="J380" s="815"/>
      <c r="K380" s="873"/>
    </row>
    <row r="381" spans="1:11" ht="11.25">
      <c r="A381" s="815"/>
      <c r="B381" s="815"/>
      <c r="C381" s="815"/>
      <c r="D381" s="815"/>
      <c r="E381" s="815"/>
      <c r="F381" s="815"/>
      <c r="G381" s="815"/>
      <c r="H381" s="815"/>
      <c r="I381" s="815"/>
      <c r="J381" s="815"/>
      <c r="K381" s="873"/>
    </row>
    <row r="382" spans="1:11" ht="11.25">
      <c r="A382" s="815"/>
      <c r="B382" s="815"/>
      <c r="C382" s="815"/>
      <c r="D382" s="815"/>
      <c r="E382" s="815"/>
      <c r="F382" s="815"/>
      <c r="G382" s="815"/>
      <c r="H382" s="815"/>
      <c r="I382" s="815"/>
      <c r="J382" s="815"/>
      <c r="K382" s="873"/>
    </row>
    <row r="383" spans="1:11" ht="11.25">
      <c r="A383" s="815"/>
      <c r="B383" s="815"/>
      <c r="C383" s="815"/>
      <c r="D383" s="815"/>
      <c r="E383" s="815"/>
      <c r="F383" s="815"/>
      <c r="G383" s="815"/>
      <c r="H383" s="815"/>
      <c r="I383" s="815"/>
      <c r="J383" s="815"/>
      <c r="K383" s="873"/>
    </row>
    <row r="384" spans="1:11" ht="11.25">
      <c r="A384" s="815"/>
      <c r="B384" s="815"/>
      <c r="C384" s="815"/>
      <c r="D384" s="815"/>
      <c r="E384" s="815"/>
      <c r="F384" s="815"/>
      <c r="G384" s="815"/>
      <c r="H384" s="815"/>
      <c r="I384" s="815"/>
      <c r="J384" s="815"/>
      <c r="K384" s="873"/>
    </row>
    <row r="385" spans="1:11" ht="11.25">
      <c r="A385" s="815"/>
      <c r="B385" s="815"/>
      <c r="C385" s="815"/>
      <c r="D385" s="815"/>
      <c r="E385" s="815"/>
      <c r="F385" s="815"/>
      <c r="G385" s="815"/>
      <c r="H385" s="815"/>
      <c r="I385" s="815"/>
      <c r="J385" s="815"/>
      <c r="K385" s="873"/>
    </row>
    <row r="386" spans="1:11" ht="11.25">
      <c r="A386" s="815"/>
      <c r="B386" s="815"/>
      <c r="C386" s="815"/>
      <c r="D386" s="815"/>
      <c r="E386" s="815"/>
      <c r="F386" s="815"/>
      <c r="G386" s="815"/>
      <c r="H386" s="815"/>
      <c r="I386" s="815"/>
      <c r="J386" s="815"/>
      <c r="K386" s="873"/>
    </row>
    <row r="387" spans="1:11" ht="11.25">
      <c r="A387" s="815"/>
      <c r="B387" s="815"/>
      <c r="C387" s="815"/>
      <c r="D387" s="815"/>
      <c r="E387" s="815"/>
      <c r="F387" s="815"/>
      <c r="G387" s="815"/>
      <c r="H387" s="815"/>
      <c r="I387" s="815"/>
      <c r="J387" s="815"/>
      <c r="K387" s="873"/>
    </row>
    <row r="388" spans="1:11" ht="11.25">
      <c r="A388" s="815"/>
      <c r="B388" s="815"/>
      <c r="C388" s="815"/>
      <c r="D388" s="815"/>
      <c r="E388" s="815"/>
      <c r="F388" s="815"/>
      <c r="G388" s="815"/>
      <c r="H388" s="815"/>
      <c r="I388" s="815"/>
      <c r="J388" s="815"/>
      <c r="K388" s="873"/>
    </row>
    <row r="389" spans="1:11" ht="11.25">
      <c r="A389" s="815"/>
      <c r="B389" s="815"/>
      <c r="C389" s="815"/>
      <c r="D389" s="815"/>
      <c r="E389" s="815"/>
      <c r="F389" s="815"/>
      <c r="G389" s="815"/>
      <c r="H389" s="815"/>
      <c r="I389" s="815"/>
      <c r="J389" s="815"/>
      <c r="K389" s="873"/>
    </row>
    <row r="390" spans="1:11" ht="11.25">
      <c r="A390" s="815"/>
      <c r="B390" s="815"/>
      <c r="C390" s="815"/>
      <c r="D390" s="815"/>
      <c r="E390" s="815"/>
      <c r="F390" s="815"/>
      <c r="G390" s="815"/>
      <c r="H390" s="815"/>
      <c r="I390" s="815"/>
      <c r="J390" s="815"/>
      <c r="K390" s="873"/>
    </row>
    <row r="391" spans="1:11" ht="11.25">
      <c r="A391" s="815"/>
      <c r="B391" s="815"/>
      <c r="C391" s="815"/>
      <c r="D391" s="815"/>
      <c r="E391" s="815"/>
      <c r="F391" s="815"/>
      <c r="G391" s="815"/>
      <c r="H391" s="815"/>
      <c r="I391" s="815"/>
      <c r="J391" s="815"/>
      <c r="K391" s="873"/>
    </row>
    <row r="392" spans="1:11" ht="11.25">
      <c r="A392" s="815"/>
      <c r="B392" s="815"/>
      <c r="C392" s="815"/>
      <c r="D392" s="815"/>
      <c r="E392" s="815"/>
      <c r="F392" s="815"/>
      <c r="G392" s="815"/>
      <c r="H392" s="815"/>
      <c r="I392" s="815"/>
      <c r="J392" s="815"/>
      <c r="K392" s="873"/>
    </row>
    <row r="393" spans="1:11" ht="11.25">
      <c r="A393" s="815"/>
      <c r="B393" s="815"/>
      <c r="C393" s="815"/>
      <c r="D393" s="815"/>
      <c r="E393" s="815"/>
      <c r="F393" s="815"/>
      <c r="G393" s="815"/>
      <c r="H393" s="815"/>
      <c r="I393" s="815"/>
      <c r="J393" s="815"/>
      <c r="K393" s="873"/>
    </row>
    <row r="394" spans="1:11" ht="11.25">
      <c r="A394" s="815"/>
      <c r="B394" s="815"/>
      <c r="C394" s="815"/>
      <c r="D394" s="815"/>
      <c r="E394" s="815"/>
      <c r="F394" s="815"/>
      <c r="G394" s="815"/>
      <c r="H394" s="815"/>
      <c r="I394" s="815"/>
      <c r="J394" s="815"/>
      <c r="K394" s="873"/>
    </row>
    <row r="395" spans="1:11" ht="11.25">
      <c r="A395" s="815"/>
      <c r="B395" s="815"/>
      <c r="C395" s="815"/>
      <c r="D395" s="815"/>
      <c r="E395" s="815"/>
      <c r="F395" s="815"/>
      <c r="G395" s="815"/>
      <c r="H395" s="815"/>
      <c r="I395" s="815"/>
      <c r="J395" s="815"/>
      <c r="K395" s="873"/>
    </row>
    <row r="396" spans="1:11" ht="11.25">
      <c r="A396" s="815"/>
      <c r="B396" s="815"/>
      <c r="C396" s="815"/>
      <c r="D396" s="815"/>
      <c r="E396" s="815"/>
      <c r="F396" s="815"/>
      <c r="G396" s="815"/>
      <c r="H396" s="815"/>
      <c r="I396" s="815"/>
      <c r="J396" s="815"/>
      <c r="K396" s="873"/>
    </row>
    <row r="397" spans="1:11" ht="11.25">
      <c r="A397" s="815"/>
      <c r="B397" s="815"/>
      <c r="C397" s="815"/>
      <c r="D397" s="815"/>
      <c r="E397" s="815"/>
      <c r="F397" s="815"/>
      <c r="G397" s="815"/>
      <c r="H397" s="815"/>
      <c r="I397" s="815"/>
      <c r="J397" s="815"/>
      <c r="K397" s="873"/>
    </row>
    <row r="398" spans="1:11" ht="11.25">
      <c r="A398" s="815"/>
      <c r="B398" s="815"/>
      <c r="C398" s="815"/>
      <c r="D398" s="815"/>
      <c r="E398" s="815"/>
      <c r="F398" s="815"/>
      <c r="G398" s="815"/>
      <c r="H398" s="815"/>
      <c r="I398" s="815"/>
      <c r="J398" s="815"/>
      <c r="K398" s="873"/>
    </row>
    <row r="399" spans="1:11" ht="11.25">
      <c r="A399" s="815"/>
      <c r="B399" s="815"/>
      <c r="C399" s="815"/>
      <c r="D399" s="815"/>
      <c r="E399" s="815"/>
      <c r="F399" s="815"/>
      <c r="G399" s="815"/>
      <c r="H399" s="815"/>
      <c r="I399" s="815"/>
      <c r="J399" s="815"/>
      <c r="K399" s="873"/>
    </row>
    <row r="400" spans="1:11" ht="11.25">
      <c r="A400" s="815"/>
      <c r="B400" s="815"/>
      <c r="C400" s="815"/>
      <c r="D400" s="815"/>
      <c r="E400" s="815"/>
      <c r="F400" s="815"/>
      <c r="G400" s="815"/>
      <c r="H400" s="815"/>
      <c r="I400" s="815"/>
      <c r="J400" s="815"/>
      <c r="K400" s="873"/>
    </row>
    <row r="401" spans="1:11" ht="11.25">
      <c r="A401" s="815"/>
      <c r="B401" s="815"/>
      <c r="C401" s="815"/>
      <c r="D401" s="815"/>
      <c r="E401" s="815"/>
      <c r="F401" s="815"/>
      <c r="G401" s="815"/>
      <c r="H401" s="815"/>
      <c r="I401" s="815"/>
      <c r="J401" s="815"/>
      <c r="K401" s="873"/>
    </row>
    <row r="402" spans="1:11" ht="11.25">
      <c r="A402" s="815"/>
      <c r="B402" s="815"/>
      <c r="C402" s="815"/>
      <c r="D402" s="815"/>
      <c r="E402" s="815"/>
      <c r="F402" s="815"/>
      <c r="G402" s="815"/>
      <c r="H402" s="815"/>
      <c r="I402" s="815"/>
      <c r="J402" s="815"/>
      <c r="K402" s="873"/>
    </row>
    <row r="403" spans="1:11" ht="11.25">
      <c r="A403" s="815"/>
      <c r="B403" s="815"/>
      <c r="C403" s="815"/>
      <c r="D403" s="815"/>
      <c r="E403" s="815"/>
      <c r="F403" s="815"/>
      <c r="G403" s="815"/>
      <c r="H403" s="815"/>
      <c r="I403" s="815"/>
      <c r="J403" s="815"/>
      <c r="K403" s="873"/>
    </row>
    <row r="404" spans="1:11" ht="11.25">
      <c r="A404" s="815"/>
      <c r="B404" s="815"/>
      <c r="C404" s="815"/>
      <c r="D404" s="815"/>
      <c r="E404" s="815"/>
      <c r="F404" s="815"/>
      <c r="G404" s="815"/>
      <c r="H404" s="815"/>
      <c r="I404" s="815"/>
      <c r="J404" s="815"/>
      <c r="K404" s="873"/>
    </row>
    <row r="405" spans="1:11" ht="11.25">
      <c r="A405" s="815"/>
      <c r="B405" s="815"/>
      <c r="C405" s="815"/>
      <c r="D405" s="815"/>
      <c r="E405" s="815"/>
      <c r="F405" s="815"/>
      <c r="G405" s="815"/>
      <c r="H405" s="815"/>
      <c r="I405" s="815"/>
      <c r="J405" s="815"/>
      <c r="K405" s="873"/>
    </row>
    <row r="406" spans="1:11" ht="11.25">
      <c r="A406" s="815"/>
      <c r="B406" s="815"/>
      <c r="C406" s="815"/>
      <c r="D406" s="815"/>
      <c r="E406" s="815"/>
      <c r="F406" s="815"/>
      <c r="G406" s="815"/>
      <c r="H406" s="815"/>
      <c r="I406" s="815"/>
      <c r="J406" s="815"/>
      <c r="K406" s="873"/>
    </row>
    <row r="407" spans="1:11" ht="11.25">
      <c r="A407" s="815"/>
      <c r="B407" s="815"/>
      <c r="C407" s="815"/>
      <c r="D407" s="815"/>
      <c r="E407" s="815"/>
      <c r="F407" s="815"/>
      <c r="G407" s="815"/>
      <c r="H407" s="815"/>
      <c r="I407" s="815"/>
      <c r="J407" s="815"/>
      <c r="K407" s="873"/>
    </row>
    <row r="408" spans="1:11" ht="11.25">
      <c r="A408" s="815"/>
      <c r="B408" s="815"/>
      <c r="C408" s="815"/>
      <c r="D408" s="815"/>
      <c r="E408" s="815"/>
      <c r="F408" s="815"/>
      <c r="G408" s="815"/>
      <c r="H408" s="815"/>
      <c r="I408" s="815"/>
      <c r="J408" s="815"/>
      <c r="K408" s="873"/>
    </row>
    <row r="409" spans="1:11" ht="11.25">
      <c r="A409" s="815"/>
      <c r="B409" s="815"/>
      <c r="C409" s="815"/>
      <c r="D409" s="815"/>
      <c r="E409" s="815"/>
      <c r="F409" s="815"/>
      <c r="G409" s="815"/>
      <c r="H409" s="815"/>
      <c r="I409" s="815"/>
      <c r="J409" s="815"/>
      <c r="K409" s="873"/>
    </row>
    <row r="410" spans="1:11" ht="11.25">
      <c r="A410" s="815"/>
      <c r="B410" s="815"/>
      <c r="C410" s="815"/>
      <c r="D410" s="815"/>
      <c r="E410" s="815"/>
      <c r="F410" s="815"/>
      <c r="G410" s="815"/>
      <c r="H410" s="815"/>
      <c r="I410" s="815"/>
      <c r="J410" s="815"/>
      <c r="K410" s="873"/>
    </row>
    <row r="411" spans="1:11" ht="11.25">
      <c r="A411" s="815"/>
      <c r="B411" s="815"/>
      <c r="C411" s="815"/>
      <c r="D411" s="815"/>
      <c r="E411" s="815"/>
      <c r="F411" s="815"/>
      <c r="G411" s="815"/>
      <c r="H411" s="815"/>
      <c r="I411" s="815"/>
      <c r="J411" s="815"/>
      <c r="K411" s="873"/>
    </row>
    <row r="412" spans="1:11" ht="11.25">
      <c r="A412" s="815"/>
      <c r="B412" s="815"/>
      <c r="C412" s="815"/>
      <c r="D412" s="815"/>
      <c r="E412" s="815"/>
      <c r="F412" s="815"/>
      <c r="G412" s="815"/>
      <c r="H412" s="815"/>
      <c r="I412" s="815"/>
      <c r="J412" s="815"/>
      <c r="K412" s="873"/>
    </row>
    <row r="413" spans="1:11" ht="11.25">
      <c r="A413" s="815"/>
      <c r="B413" s="815"/>
      <c r="C413" s="815"/>
      <c r="D413" s="815"/>
      <c r="E413" s="815"/>
      <c r="F413" s="815"/>
      <c r="G413" s="815"/>
      <c r="H413" s="815"/>
      <c r="I413" s="815"/>
      <c r="J413" s="815"/>
      <c r="K413" s="873"/>
    </row>
    <row r="414" spans="1:11" ht="11.25">
      <c r="A414" s="815"/>
      <c r="B414" s="815"/>
      <c r="C414" s="815"/>
      <c r="D414" s="815"/>
      <c r="E414" s="815"/>
      <c r="F414" s="815"/>
      <c r="G414" s="815"/>
      <c r="H414" s="815"/>
      <c r="I414" s="815"/>
      <c r="J414" s="815"/>
      <c r="K414" s="873"/>
    </row>
    <row r="415" spans="1:11" ht="11.25">
      <c r="A415" s="815"/>
      <c r="B415" s="815"/>
      <c r="C415" s="815"/>
      <c r="D415" s="815"/>
      <c r="E415" s="815"/>
      <c r="F415" s="815"/>
      <c r="G415" s="815"/>
      <c r="H415" s="815"/>
      <c r="I415" s="815"/>
      <c r="J415" s="815"/>
      <c r="K415" s="873"/>
    </row>
    <row r="416" spans="1:11" ht="11.25">
      <c r="A416" s="815"/>
      <c r="B416" s="815"/>
      <c r="C416" s="815"/>
      <c r="D416" s="815"/>
      <c r="E416" s="815"/>
      <c r="F416" s="815"/>
      <c r="G416" s="815"/>
      <c r="H416" s="815"/>
      <c r="I416" s="815"/>
      <c r="J416" s="815"/>
      <c r="K416" s="873"/>
    </row>
    <row r="417" spans="1:11" ht="11.25">
      <c r="A417" s="815"/>
      <c r="B417" s="815"/>
      <c r="C417" s="815"/>
      <c r="D417" s="815"/>
      <c r="E417" s="815"/>
      <c r="F417" s="815"/>
      <c r="G417" s="815"/>
      <c r="H417" s="815"/>
      <c r="I417" s="815"/>
      <c r="J417" s="815"/>
      <c r="K417" s="873"/>
    </row>
    <row r="418" spans="1:11" ht="11.25">
      <c r="A418" s="815"/>
      <c r="B418" s="815"/>
      <c r="C418" s="815"/>
      <c r="D418" s="815"/>
      <c r="E418" s="815"/>
      <c r="F418" s="815"/>
      <c r="G418" s="815"/>
      <c r="H418" s="815"/>
      <c r="I418" s="815"/>
      <c r="J418" s="815"/>
      <c r="K418" s="873"/>
    </row>
    <row r="419" spans="1:11" ht="11.25">
      <c r="A419" s="815"/>
      <c r="B419" s="815"/>
      <c r="C419" s="815"/>
      <c r="D419" s="815"/>
      <c r="E419" s="815"/>
      <c r="F419" s="815"/>
      <c r="G419" s="815"/>
      <c r="H419" s="815"/>
      <c r="I419" s="815"/>
      <c r="J419" s="815"/>
      <c r="K419" s="873"/>
    </row>
    <row r="420" spans="1:11" ht="11.25">
      <c r="A420" s="815"/>
      <c r="B420" s="815"/>
      <c r="C420" s="815"/>
      <c r="D420" s="815"/>
      <c r="E420" s="815"/>
      <c r="F420" s="815"/>
      <c r="G420" s="815"/>
      <c r="H420" s="815"/>
      <c r="I420" s="815"/>
      <c r="J420" s="815"/>
      <c r="K420" s="873"/>
    </row>
    <row r="421" spans="1:11" ht="11.25">
      <c r="A421" s="815"/>
      <c r="B421" s="815"/>
      <c r="C421" s="815"/>
      <c r="D421" s="815"/>
      <c r="E421" s="815"/>
      <c r="F421" s="815"/>
      <c r="G421" s="815"/>
      <c r="H421" s="815"/>
      <c r="I421" s="815"/>
      <c r="J421" s="815"/>
      <c r="K421" s="873"/>
    </row>
    <row r="422" spans="1:11" ht="11.25">
      <c r="A422" s="815"/>
      <c r="B422" s="815"/>
      <c r="C422" s="815"/>
      <c r="D422" s="815"/>
      <c r="E422" s="815"/>
      <c r="F422" s="815"/>
      <c r="G422" s="815"/>
      <c r="H422" s="815"/>
      <c r="I422" s="815"/>
      <c r="J422" s="815"/>
      <c r="K422" s="873"/>
    </row>
    <row r="423" spans="1:11" ht="11.25">
      <c r="A423" s="815"/>
      <c r="B423" s="815"/>
      <c r="C423" s="815"/>
      <c r="D423" s="815"/>
      <c r="E423" s="815"/>
      <c r="F423" s="815"/>
      <c r="G423" s="815"/>
      <c r="H423" s="815"/>
      <c r="I423" s="815"/>
      <c r="J423" s="815"/>
      <c r="K423" s="873"/>
    </row>
    <row r="424" spans="1:11" ht="11.25">
      <c r="A424" s="815"/>
      <c r="B424" s="815"/>
      <c r="C424" s="815"/>
      <c r="D424" s="815"/>
      <c r="E424" s="815"/>
      <c r="F424" s="815"/>
      <c r="G424" s="815"/>
      <c r="H424" s="815"/>
      <c r="I424" s="815"/>
      <c r="J424" s="815"/>
      <c r="K424" s="873"/>
    </row>
    <row r="425" spans="1:11" ht="11.25">
      <c r="A425" s="815"/>
      <c r="B425" s="815"/>
      <c r="C425" s="815"/>
      <c r="D425" s="815"/>
      <c r="E425" s="815"/>
      <c r="F425" s="815"/>
      <c r="G425" s="815"/>
      <c r="H425" s="815"/>
      <c r="I425" s="815"/>
      <c r="J425" s="815"/>
      <c r="K425" s="873"/>
    </row>
    <row r="426" spans="1:11" ht="11.25">
      <c r="A426" s="815"/>
      <c r="B426" s="815"/>
      <c r="C426" s="815"/>
      <c r="D426" s="815"/>
      <c r="E426" s="815"/>
      <c r="F426" s="815"/>
      <c r="G426" s="815"/>
      <c r="H426" s="815"/>
      <c r="I426" s="815"/>
      <c r="J426" s="815"/>
      <c r="K426" s="873"/>
    </row>
    <row r="427" spans="1:11" ht="11.25">
      <c r="A427" s="815"/>
      <c r="B427" s="815"/>
      <c r="C427" s="815"/>
      <c r="D427" s="815"/>
      <c r="E427" s="815"/>
      <c r="F427" s="815"/>
      <c r="G427" s="815"/>
      <c r="H427" s="815"/>
      <c r="I427" s="815"/>
      <c r="J427" s="815"/>
      <c r="K427" s="873"/>
    </row>
    <row r="428" spans="1:11" ht="11.25">
      <c r="A428" s="815"/>
      <c r="B428" s="815"/>
      <c r="C428" s="815"/>
      <c r="D428" s="815"/>
      <c r="E428" s="815"/>
      <c r="F428" s="815"/>
      <c r="G428" s="815"/>
      <c r="H428" s="815"/>
      <c r="I428" s="815"/>
      <c r="J428" s="815"/>
      <c r="K428" s="873"/>
    </row>
    <row r="429" spans="1:11" ht="11.25">
      <c r="A429" s="815"/>
      <c r="B429" s="815"/>
      <c r="C429" s="815"/>
      <c r="D429" s="815"/>
      <c r="E429" s="815"/>
      <c r="F429" s="815"/>
      <c r="G429" s="815"/>
      <c r="H429" s="815"/>
      <c r="I429" s="815"/>
      <c r="J429" s="815"/>
      <c r="K429" s="873"/>
    </row>
    <row r="430" spans="1:11" ht="11.25">
      <c r="A430" s="815"/>
      <c r="B430" s="815"/>
      <c r="C430" s="815"/>
      <c r="D430" s="815"/>
      <c r="E430" s="815"/>
      <c r="F430" s="815"/>
      <c r="G430" s="815"/>
      <c r="H430" s="815"/>
      <c r="I430" s="815"/>
      <c r="J430" s="815"/>
      <c r="K430" s="873"/>
    </row>
    <row r="431" spans="1:11" ht="11.25">
      <c r="A431" s="815"/>
      <c r="B431" s="815"/>
      <c r="C431" s="815"/>
      <c r="D431" s="815"/>
      <c r="E431" s="815"/>
      <c r="F431" s="815"/>
      <c r="G431" s="815"/>
      <c r="H431" s="815"/>
      <c r="I431" s="815"/>
      <c r="J431" s="815"/>
      <c r="K431" s="873"/>
    </row>
    <row r="432" spans="1:11" ht="11.25">
      <c r="A432" s="815"/>
      <c r="B432" s="815"/>
      <c r="C432" s="815"/>
      <c r="D432" s="815"/>
      <c r="E432" s="815"/>
      <c r="F432" s="815"/>
      <c r="G432" s="815"/>
      <c r="H432" s="815"/>
      <c r="I432" s="815"/>
      <c r="J432" s="815"/>
      <c r="K432" s="873"/>
    </row>
    <row r="433" spans="1:11" ht="11.25">
      <c r="A433" s="815"/>
      <c r="B433" s="815"/>
      <c r="C433" s="815"/>
      <c r="D433" s="815"/>
      <c r="E433" s="815"/>
      <c r="F433" s="815"/>
      <c r="G433" s="815"/>
      <c r="H433" s="815"/>
      <c r="I433" s="815"/>
      <c r="J433" s="815"/>
      <c r="K433" s="873"/>
    </row>
    <row r="434" spans="1:11" ht="11.25">
      <c r="A434" s="815"/>
      <c r="B434" s="815"/>
      <c r="C434" s="815"/>
      <c r="D434" s="815"/>
      <c r="E434" s="815"/>
      <c r="F434" s="815"/>
      <c r="G434" s="815"/>
      <c r="H434" s="815"/>
      <c r="I434" s="815"/>
      <c r="J434" s="815"/>
      <c r="K434" s="873"/>
    </row>
    <row r="435" spans="1:11" ht="11.25">
      <c r="A435" s="815"/>
      <c r="B435" s="815"/>
      <c r="C435" s="815"/>
      <c r="D435" s="815"/>
      <c r="E435" s="815"/>
      <c r="F435" s="815"/>
      <c r="G435" s="815"/>
      <c r="H435" s="815"/>
      <c r="I435" s="815"/>
      <c r="J435" s="815"/>
      <c r="K435" s="873"/>
    </row>
    <row r="436" spans="1:11" ht="11.25">
      <c r="A436" s="815"/>
      <c r="B436" s="815"/>
      <c r="C436" s="815"/>
      <c r="D436" s="815"/>
      <c r="E436" s="815"/>
      <c r="F436" s="815"/>
      <c r="G436" s="815"/>
      <c r="H436" s="815"/>
      <c r="I436" s="815"/>
      <c r="J436" s="815"/>
      <c r="K436" s="873"/>
    </row>
    <row r="437" spans="1:11" ht="11.25">
      <c r="A437" s="815"/>
      <c r="B437" s="815"/>
      <c r="C437" s="815"/>
      <c r="D437" s="815"/>
      <c r="E437" s="815"/>
      <c r="F437" s="815"/>
      <c r="G437" s="815"/>
      <c r="H437" s="815"/>
      <c r="I437" s="815"/>
      <c r="J437" s="815"/>
      <c r="K437" s="873"/>
    </row>
    <row r="438" spans="1:11" ht="11.25">
      <c r="A438" s="815"/>
      <c r="B438" s="815"/>
      <c r="C438" s="815"/>
      <c r="D438" s="815"/>
      <c r="E438" s="815"/>
      <c r="F438" s="815"/>
      <c r="G438" s="815"/>
      <c r="H438" s="815"/>
      <c r="I438" s="815"/>
      <c r="J438" s="815"/>
      <c r="K438" s="873"/>
    </row>
    <row r="439" spans="1:11" ht="11.25">
      <c r="A439" s="815"/>
      <c r="B439" s="815"/>
      <c r="C439" s="815"/>
      <c r="D439" s="815"/>
      <c r="E439" s="815"/>
      <c r="F439" s="815"/>
      <c r="G439" s="815"/>
      <c r="H439" s="815"/>
      <c r="I439" s="815"/>
      <c r="J439" s="815"/>
      <c r="K439" s="873"/>
    </row>
    <row r="440" spans="1:11" ht="11.25">
      <c r="A440" s="815"/>
      <c r="B440" s="815"/>
      <c r="C440" s="815"/>
      <c r="D440" s="815"/>
      <c r="E440" s="815"/>
      <c r="F440" s="815"/>
      <c r="G440" s="815"/>
      <c r="H440" s="815"/>
      <c r="I440" s="815"/>
      <c r="J440" s="815"/>
      <c r="K440" s="873"/>
    </row>
    <row r="441" spans="1:11" ht="11.25">
      <c r="A441" s="815"/>
      <c r="B441" s="815"/>
      <c r="C441" s="815"/>
      <c r="D441" s="815"/>
      <c r="E441" s="815"/>
      <c r="F441" s="815"/>
      <c r="G441" s="815"/>
      <c r="H441" s="815"/>
      <c r="I441" s="815"/>
      <c r="J441" s="815"/>
      <c r="K441" s="873"/>
    </row>
    <row r="442" spans="1:11" ht="11.25">
      <c r="A442" s="815"/>
      <c r="B442" s="815"/>
      <c r="C442" s="815"/>
      <c r="D442" s="815"/>
      <c r="E442" s="815"/>
      <c r="F442" s="815"/>
      <c r="G442" s="815"/>
      <c r="H442" s="815"/>
      <c r="I442" s="815"/>
      <c r="J442" s="815"/>
      <c r="K442" s="873"/>
    </row>
    <row r="443" spans="1:11" ht="11.25">
      <c r="A443" s="815"/>
      <c r="B443" s="815"/>
      <c r="C443" s="815"/>
      <c r="D443" s="815"/>
      <c r="E443" s="815"/>
      <c r="F443" s="815"/>
      <c r="G443" s="815"/>
      <c r="H443" s="815"/>
      <c r="I443" s="815"/>
      <c r="J443" s="815"/>
      <c r="K443" s="873"/>
    </row>
    <row r="444" spans="1:11" ht="11.25">
      <c r="A444" s="815"/>
      <c r="B444" s="815"/>
      <c r="C444" s="815"/>
      <c r="D444" s="815"/>
      <c r="E444" s="815"/>
      <c r="F444" s="815"/>
      <c r="G444" s="815"/>
      <c r="H444" s="815"/>
      <c r="I444" s="815"/>
      <c r="J444" s="815"/>
      <c r="K444" s="873"/>
    </row>
    <row r="445" spans="1:11" ht="11.25">
      <c r="A445" s="815"/>
      <c r="B445" s="815"/>
      <c r="C445" s="815"/>
      <c r="D445" s="815"/>
      <c r="E445" s="815"/>
      <c r="F445" s="815"/>
      <c r="G445" s="815"/>
      <c r="H445" s="815"/>
      <c r="I445" s="815"/>
      <c r="J445" s="815"/>
      <c r="K445" s="873"/>
    </row>
    <row r="446" spans="1:11" ht="11.25">
      <c r="A446" s="815"/>
      <c r="B446" s="815"/>
      <c r="C446" s="815"/>
      <c r="D446" s="815"/>
      <c r="E446" s="815"/>
      <c r="F446" s="815"/>
      <c r="G446" s="815"/>
      <c r="H446" s="815"/>
      <c r="I446" s="815"/>
      <c r="J446" s="815"/>
      <c r="K446" s="873"/>
    </row>
    <row r="447" spans="1:11" ht="11.25">
      <c r="A447" s="815"/>
      <c r="B447" s="815"/>
      <c r="C447" s="815"/>
      <c r="D447" s="815"/>
      <c r="E447" s="815"/>
      <c r="F447" s="815"/>
      <c r="G447" s="815"/>
      <c r="H447" s="815"/>
      <c r="I447" s="815"/>
      <c r="J447" s="815"/>
      <c r="K447" s="873"/>
    </row>
    <row r="448" spans="1:11" ht="11.25">
      <c r="A448" s="815"/>
      <c r="B448" s="815"/>
      <c r="C448" s="815"/>
      <c r="D448" s="815"/>
      <c r="E448" s="815"/>
      <c r="F448" s="815"/>
      <c r="G448" s="815"/>
      <c r="H448" s="815"/>
      <c r="I448" s="815"/>
      <c r="J448" s="815"/>
      <c r="K448" s="873"/>
    </row>
    <row r="449" spans="1:11" ht="11.25">
      <c r="A449" s="815"/>
      <c r="B449" s="815"/>
      <c r="C449" s="815"/>
      <c r="D449" s="815"/>
      <c r="E449" s="815"/>
      <c r="F449" s="815"/>
      <c r="G449" s="815"/>
      <c r="H449" s="815"/>
      <c r="I449" s="815"/>
      <c r="J449" s="815"/>
      <c r="K449" s="873"/>
    </row>
    <row r="450" spans="1:11" ht="11.25">
      <c r="A450" s="815"/>
      <c r="B450" s="815"/>
      <c r="C450" s="815"/>
      <c r="D450" s="815"/>
      <c r="E450" s="815"/>
      <c r="F450" s="815"/>
      <c r="G450" s="815"/>
      <c r="H450" s="815"/>
      <c r="I450" s="815"/>
      <c r="J450" s="815"/>
      <c r="K450" s="873"/>
    </row>
    <row r="451" spans="1:11" ht="11.25">
      <c r="A451" s="815"/>
      <c r="B451" s="815"/>
      <c r="C451" s="815"/>
      <c r="D451" s="815"/>
      <c r="E451" s="815"/>
      <c r="F451" s="815"/>
      <c r="G451" s="815"/>
      <c r="H451" s="815"/>
      <c r="I451" s="815"/>
      <c r="J451" s="815"/>
      <c r="K451" s="873"/>
    </row>
    <row r="452" spans="1:11" ht="11.25">
      <c r="A452" s="815"/>
      <c r="B452" s="815"/>
      <c r="C452" s="815"/>
      <c r="D452" s="815"/>
      <c r="E452" s="815"/>
      <c r="F452" s="815"/>
      <c r="G452" s="815"/>
      <c r="H452" s="815"/>
      <c r="I452" s="815"/>
      <c r="J452" s="815"/>
      <c r="K452" s="873"/>
    </row>
    <row r="453" spans="1:11" ht="11.25">
      <c r="A453" s="815"/>
      <c r="B453" s="815"/>
      <c r="C453" s="815"/>
      <c r="D453" s="815"/>
      <c r="E453" s="815"/>
      <c r="F453" s="815"/>
      <c r="G453" s="815"/>
      <c r="H453" s="815"/>
      <c r="I453" s="815"/>
      <c r="J453" s="815"/>
      <c r="K453" s="873"/>
    </row>
    <row r="454" spans="1:11" ht="11.25">
      <c r="A454" s="815"/>
      <c r="B454" s="815"/>
      <c r="C454" s="815"/>
      <c r="D454" s="815"/>
      <c r="E454" s="815"/>
      <c r="F454" s="815"/>
      <c r="G454" s="815"/>
      <c r="H454" s="815"/>
      <c r="I454" s="815"/>
      <c r="J454" s="815"/>
      <c r="K454" s="873"/>
    </row>
    <row r="455" spans="1:11" ht="11.25">
      <c r="A455" s="815"/>
      <c r="B455" s="815"/>
      <c r="C455" s="815"/>
      <c r="D455" s="815"/>
      <c r="E455" s="815"/>
      <c r="F455" s="815"/>
      <c r="G455" s="815"/>
      <c r="H455" s="815"/>
      <c r="I455" s="815"/>
      <c r="J455" s="815"/>
      <c r="K455" s="873"/>
    </row>
    <row r="456" spans="1:11" ht="11.25">
      <c r="A456" s="815"/>
      <c r="B456" s="815"/>
      <c r="C456" s="815"/>
      <c r="D456" s="815"/>
      <c r="E456" s="815"/>
      <c r="F456" s="815"/>
      <c r="G456" s="815"/>
      <c r="H456" s="815"/>
      <c r="I456" s="815"/>
      <c r="J456" s="815"/>
      <c r="K456" s="873"/>
    </row>
    <row r="457" spans="1:11" ht="11.25">
      <c r="A457" s="815"/>
      <c r="B457" s="815"/>
      <c r="C457" s="815"/>
      <c r="D457" s="815"/>
      <c r="E457" s="815"/>
      <c r="F457" s="815"/>
      <c r="G457" s="815"/>
      <c r="H457" s="815"/>
      <c r="I457" s="815"/>
      <c r="J457" s="815"/>
      <c r="K457" s="873"/>
    </row>
    <row r="458" spans="1:11" ht="11.25">
      <c r="A458" s="815"/>
      <c r="B458" s="815"/>
      <c r="C458" s="815"/>
      <c r="D458" s="815"/>
      <c r="E458" s="815"/>
      <c r="F458" s="815"/>
      <c r="G458" s="815"/>
      <c r="H458" s="815"/>
      <c r="I458" s="815"/>
      <c r="J458" s="815"/>
      <c r="K458" s="873"/>
    </row>
    <row r="459" spans="1:11" ht="11.25">
      <c r="A459" s="815"/>
      <c r="B459" s="815"/>
      <c r="C459" s="815"/>
      <c r="D459" s="815"/>
      <c r="E459" s="815"/>
      <c r="F459" s="815"/>
      <c r="G459" s="815"/>
      <c r="H459" s="815"/>
      <c r="I459" s="815"/>
      <c r="J459" s="815"/>
      <c r="K459" s="873"/>
    </row>
    <row r="460" spans="1:11" ht="11.25">
      <c r="A460" s="815"/>
      <c r="B460" s="815"/>
      <c r="C460" s="815"/>
      <c r="D460" s="815"/>
      <c r="E460" s="815"/>
      <c r="F460" s="815"/>
      <c r="G460" s="815"/>
      <c r="H460" s="815"/>
      <c r="I460" s="815"/>
      <c r="J460" s="815"/>
      <c r="K460" s="873"/>
    </row>
    <row r="461" spans="1:11" ht="11.25">
      <c r="A461" s="815"/>
      <c r="B461" s="815"/>
      <c r="C461" s="815"/>
      <c r="D461" s="815"/>
      <c r="E461" s="815"/>
      <c r="F461" s="815"/>
      <c r="G461" s="815"/>
      <c r="H461" s="815"/>
      <c r="I461" s="815"/>
      <c r="J461" s="815"/>
      <c r="K461" s="873"/>
    </row>
    <row r="462" spans="1:11" ht="11.25">
      <c r="A462" s="815"/>
      <c r="B462" s="815"/>
      <c r="C462" s="815"/>
      <c r="D462" s="815"/>
      <c r="E462" s="815"/>
      <c r="F462" s="815"/>
      <c r="G462" s="815"/>
      <c r="H462" s="815"/>
      <c r="I462" s="815"/>
      <c r="J462" s="815"/>
      <c r="K462" s="873"/>
    </row>
    <row r="463" spans="1:11" ht="11.25">
      <c r="A463" s="815"/>
      <c r="B463" s="815"/>
      <c r="C463" s="815"/>
      <c r="D463" s="815"/>
      <c r="E463" s="815"/>
      <c r="F463" s="815"/>
      <c r="G463" s="815"/>
      <c r="H463" s="815"/>
      <c r="I463" s="815"/>
      <c r="J463" s="815"/>
      <c r="K463" s="873"/>
    </row>
    <row r="464" spans="1:11" ht="11.25">
      <c r="A464" s="815"/>
      <c r="B464" s="815"/>
      <c r="C464" s="815"/>
      <c r="D464" s="815"/>
      <c r="E464" s="815"/>
      <c r="F464" s="815"/>
      <c r="G464" s="815"/>
      <c r="H464" s="815"/>
      <c r="I464" s="815"/>
      <c r="J464" s="815"/>
      <c r="K464" s="873"/>
    </row>
    <row r="465" spans="1:11" ht="11.25">
      <c r="A465" s="815"/>
      <c r="B465" s="815"/>
      <c r="C465" s="815"/>
      <c r="D465" s="815"/>
      <c r="E465" s="815"/>
      <c r="F465" s="815"/>
      <c r="G465" s="815"/>
      <c r="H465" s="815"/>
      <c r="I465" s="815"/>
      <c r="J465" s="815"/>
      <c r="K465" s="873"/>
    </row>
    <row r="466" spans="1:11" ht="11.25">
      <c r="A466" s="815"/>
      <c r="B466" s="815"/>
      <c r="C466" s="815"/>
      <c r="D466" s="815"/>
      <c r="E466" s="815"/>
      <c r="F466" s="815"/>
      <c r="G466" s="815"/>
      <c r="H466" s="815"/>
      <c r="I466" s="815"/>
      <c r="J466" s="815"/>
      <c r="K466" s="873"/>
    </row>
    <row r="467" spans="1:11" ht="11.25">
      <c r="A467" s="815"/>
      <c r="B467" s="815"/>
      <c r="C467" s="815"/>
      <c r="D467" s="815"/>
      <c r="E467" s="815"/>
      <c r="F467" s="815"/>
      <c r="G467" s="815"/>
      <c r="H467" s="815"/>
      <c r="I467" s="815"/>
      <c r="J467" s="815"/>
      <c r="K467" s="873"/>
    </row>
    <row r="468" spans="1:11" ht="11.25">
      <c r="A468" s="815"/>
      <c r="B468" s="815"/>
      <c r="C468" s="815"/>
      <c r="D468" s="815"/>
      <c r="E468" s="815"/>
      <c r="F468" s="815"/>
      <c r="G468" s="815"/>
      <c r="H468" s="815"/>
      <c r="I468" s="815"/>
      <c r="J468" s="815"/>
      <c r="K468" s="873"/>
    </row>
    <row r="469" spans="1:11" ht="11.25">
      <c r="A469" s="815"/>
      <c r="B469" s="815"/>
      <c r="C469" s="815"/>
      <c r="D469" s="815"/>
      <c r="E469" s="815"/>
      <c r="F469" s="815"/>
      <c r="G469" s="815"/>
      <c r="H469" s="815"/>
      <c r="I469" s="815"/>
      <c r="J469" s="815"/>
      <c r="K469" s="873"/>
    </row>
    <row r="470" spans="1:11" ht="11.25">
      <c r="A470" s="815"/>
      <c r="B470" s="815"/>
      <c r="C470" s="815"/>
      <c r="D470" s="815"/>
      <c r="E470" s="815"/>
      <c r="F470" s="815"/>
      <c r="G470" s="815"/>
      <c r="H470" s="815"/>
      <c r="I470" s="815"/>
      <c r="J470" s="815"/>
      <c r="K470" s="873"/>
    </row>
    <row r="471" spans="1:11" ht="11.25">
      <c r="A471" s="815"/>
      <c r="B471" s="815"/>
      <c r="C471" s="815"/>
      <c r="D471" s="815"/>
      <c r="E471" s="815"/>
      <c r="F471" s="815"/>
      <c r="G471" s="815"/>
      <c r="H471" s="815"/>
      <c r="I471" s="815"/>
      <c r="J471" s="815"/>
      <c r="K471" s="873"/>
    </row>
    <row r="472" spans="1:11" ht="11.25">
      <c r="A472" s="815"/>
      <c r="B472" s="815"/>
      <c r="C472" s="815"/>
      <c r="D472" s="815"/>
      <c r="E472" s="815"/>
      <c r="F472" s="815"/>
      <c r="G472" s="815"/>
      <c r="H472" s="815"/>
      <c r="I472" s="815"/>
      <c r="J472" s="815"/>
      <c r="K472" s="873"/>
    </row>
    <row r="473" spans="1:11" ht="11.25">
      <c r="A473" s="815"/>
      <c r="B473" s="815"/>
      <c r="C473" s="815"/>
      <c r="D473" s="815"/>
      <c r="E473" s="815"/>
      <c r="F473" s="815"/>
      <c r="G473" s="815"/>
      <c r="H473" s="815"/>
      <c r="I473" s="815"/>
      <c r="J473" s="815"/>
      <c r="K473" s="873"/>
    </row>
    <row r="474" spans="1:11" ht="11.25">
      <c r="A474" s="815"/>
      <c r="B474" s="815"/>
      <c r="C474" s="815"/>
      <c r="D474" s="815"/>
      <c r="E474" s="815"/>
      <c r="F474" s="815"/>
      <c r="G474" s="815"/>
      <c r="H474" s="815"/>
      <c r="I474" s="815"/>
      <c r="J474" s="815"/>
      <c r="K474" s="873"/>
    </row>
    <row r="475" spans="1:11" ht="11.25">
      <c r="A475" s="815"/>
      <c r="B475" s="815"/>
      <c r="C475" s="815"/>
      <c r="D475" s="815"/>
      <c r="E475" s="815"/>
      <c r="F475" s="815"/>
      <c r="G475" s="815"/>
      <c r="H475" s="815"/>
      <c r="I475" s="815"/>
      <c r="J475" s="815"/>
      <c r="K475" s="873"/>
    </row>
    <row r="476" spans="1:11" ht="11.25">
      <c r="A476" s="815"/>
      <c r="B476" s="815"/>
      <c r="C476" s="815"/>
      <c r="D476" s="815"/>
      <c r="E476" s="815"/>
      <c r="F476" s="815"/>
      <c r="G476" s="815"/>
      <c r="H476" s="815"/>
      <c r="I476" s="815"/>
      <c r="J476" s="815"/>
      <c r="K476" s="873"/>
    </row>
    <row r="477" spans="1:11" ht="11.25">
      <c r="A477" s="815"/>
      <c r="B477" s="815"/>
      <c r="C477" s="815"/>
      <c r="D477" s="815"/>
      <c r="E477" s="815"/>
      <c r="F477" s="815"/>
      <c r="G477" s="815"/>
      <c r="H477" s="815"/>
      <c r="I477" s="815"/>
      <c r="J477" s="815"/>
      <c r="K477" s="873"/>
    </row>
    <row r="478" spans="1:11" ht="11.25">
      <c r="A478" s="815"/>
      <c r="B478" s="815"/>
      <c r="C478" s="815"/>
      <c r="D478" s="815"/>
      <c r="E478" s="815"/>
      <c r="F478" s="815"/>
      <c r="G478" s="815"/>
      <c r="H478" s="815"/>
      <c r="I478" s="815"/>
      <c r="J478" s="815"/>
      <c r="K478" s="873"/>
    </row>
    <row r="479" spans="1:11" ht="11.25">
      <c r="A479" s="815"/>
      <c r="B479" s="815"/>
      <c r="C479" s="815"/>
      <c r="D479" s="815"/>
      <c r="E479" s="815"/>
      <c r="F479" s="815"/>
      <c r="G479" s="815"/>
      <c r="H479" s="815"/>
      <c r="I479" s="815"/>
      <c r="J479" s="815"/>
      <c r="K479" s="873"/>
    </row>
    <row r="480" spans="1:11" ht="11.25">
      <c r="A480" s="815"/>
      <c r="B480" s="815"/>
      <c r="C480" s="815"/>
      <c r="D480" s="815"/>
      <c r="E480" s="815"/>
      <c r="F480" s="815"/>
      <c r="G480" s="815"/>
      <c r="H480" s="815"/>
      <c r="I480" s="815"/>
      <c r="J480" s="815"/>
      <c r="K480" s="873"/>
    </row>
    <row r="481" spans="1:11" ht="11.25">
      <c r="A481" s="815"/>
      <c r="B481" s="815"/>
      <c r="C481" s="815"/>
      <c r="D481" s="815"/>
      <c r="E481" s="815"/>
      <c r="F481" s="815"/>
      <c r="G481" s="815"/>
      <c r="H481" s="815"/>
      <c r="I481" s="815"/>
      <c r="J481" s="815"/>
      <c r="K481" s="873"/>
    </row>
    <row r="482" spans="1:11" ht="11.25">
      <c r="A482" s="815"/>
      <c r="B482" s="815"/>
      <c r="C482" s="815"/>
      <c r="D482" s="815"/>
      <c r="E482" s="815"/>
      <c r="F482" s="815"/>
      <c r="G482" s="815"/>
      <c r="H482" s="815"/>
      <c r="I482" s="815"/>
      <c r="J482" s="815"/>
      <c r="K482" s="873"/>
    </row>
    <row r="483" spans="1:11" ht="11.25">
      <c r="A483" s="815"/>
      <c r="B483" s="815"/>
      <c r="C483" s="815"/>
      <c r="D483" s="815"/>
      <c r="E483" s="815"/>
      <c r="F483" s="815"/>
      <c r="G483" s="815"/>
      <c r="H483" s="815"/>
      <c r="I483" s="815"/>
      <c r="J483" s="815"/>
      <c r="K483" s="873"/>
    </row>
    <row r="484" spans="1:11" ht="11.25">
      <c r="A484" s="815"/>
      <c r="B484" s="815"/>
      <c r="C484" s="815"/>
      <c r="D484" s="815"/>
      <c r="E484" s="815"/>
      <c r="F484" s="815"/>
      <c r="G484" s="815"/>
      <c r="H484" s="815"/>
      <c r="I484" s="815"/>
      <c r="J484" s="815"/>
      <c r="K484" s="873"/>
    </row>
    <row r="485" spans="1:11" ht="11.25">
      <c r="A485" s="815"/>
      <c r="B485" s="815"/>
      <c r="C485" s="815"/>
      <c r="D485" s="815"/>
      <c r="E485" s="815"/>
      <c r="F485" s="815"/>
      <c r="G485" s="815"/>
      <c r="H485" s="815"/>
      <c r="I485" s="815"/>
      <c r="J485" s="815"/>
      <c r="K485" s="873"/>
    </row>
    <row r="486" spans="1:11" ht="11.25">
      <c r="A486" s="815"/>
      <c r="B486" s="815"/>
      <c r="C486" s="815"/>
      <c r="D486" s="815"/>
      <c r="E486" s="815"/>
      <c r="F486" s="815"/>
      <c r="G486" s="815"/>
      <c r="H486" s="815"/>
      <c r="I486" s="815"/>
      <c r="J486" s="815"/>
      <c r="K486" s="873"/>
    </row>
    <row r="487" spans="1:11" ht="11.25">
      <c r="A487" s="815"/>
      <c r="B487" s="815"/>
      <c r="C487" s="815"/>
      <c r="D487" s="815"/>
      <c r="E487" s="815"/>
      <c r="F487" s="815"/>
      <c r="G487" s="815"/>
      <c r="H487" s="815"/>
      <c r="I487" s="815"/>
      <c r="J487" s="815"/>
      <c r="K487" s="873"/>
    </row>
    <row r="488" spans="1:11" ht="11.25">
      <c r="A488" s="815"/>
      <c r="B488" s="815"/>
      <c r="C488" s="815"/>
      <c r="D488" s="815"/>
      <c r="E488" s="815"/>
      <c r="F488" s="815"/>
      <c r="G488" s="815"/>
      <c r="H488" s="815"/>
      <c r="I488" s="815"/>
      <c r="J488" s="815"/>
      <c r="K488" s="873"/>
    </row>
    <row r="489" spans="1:11" ht="11.25">
      <c r="A489" s="815"/>
      <c r="B489" s="815"/>
      <c r="C489" s="815"/>
      <c r="D489" s="815"/>
      <c r="E489" s="815"/>
      <c r="F489" s="815"/>
      <c r="G489" s="815"/>
      <c r="H489" s="815"/>
      <c r="I489" s="815"/>
      <c r="J489" s="815"/>
      <c r="K489" s="873"/>
    </row>
    <row r="490" spans="1:11" ht="11.25">
      <c r="A490" s="815"/>
      <c r="B490" s="815"/>
      <c r="C490" s="815"/>
      <c r="D490" s="815"/>
      <c r="E490" s="815"/>
      <c r="F490" s="815"/>
      <c r="G490" s="815"/>
      <c r="H490" s="815"/>
      <c r="I490" s="815"/>
      <c r="J490" s="815"/>
      <c r="K490" s="873"/>
    </row>
    <row r="491" spans="1:11" ht="11.25">
      <c r="A491" s="815"/>
      <c r="B491" s="815"/>
      <c r="C491" s="815"/>
      <c r="D491" s="815"/>
      <c r="E491" s="815"/>
      <c r="F491" s="815"/>
      <c r="G491" s="815"/>
      <c r="H491" s="815"/>
      <c r="I491" s="815"/>
      <c r="J491" s="815"/>
      <c r="K491" s="873"/>
    </row>
    <row r="492" spans="1:11" ht="11.25">
      <c r="A492" s="815"/>
      <c r="B492" s="815"/>
      <c r="C492" s="815"/>
      <c r="D492" s="815"/>
      <c r="E492" s="815"/>
      <c r="F492" s="815"/>
      <c r="G492" s="815"/>
      <c r="H492" s="815"/>
      <c r="I492" s="815"/>
      <c r="J492" s="815"/>
      <c r="K492" s="873"/>
    </row>
    <row r="493" spans="1:11" ht="11.25">
      <c r="A493" s="815"/>
      <c r="B493" s="815"/>
      <c r="C493" s="815"/>
      <c r="D493" s="815"/>
      <c r="E493" s="815"/>
      <c r="F493" s="815"/>
      <c r="G493" s="815"/>
      <c r="H493" s="815"/>
      <c r="I493" s="815"/>
      <c r="J493" s="815"/>
      <c r="K493" s="873"/>
    </row>
    <row r="494" spans="1:11" ht="11.25">
      <c r="A494" s="815"/>
      <c r="B494" s="815"/>
      <c r="C494" s="815"/>
      <c r="D494" s="815"/>
      <c r="E494" s="815"/>
      <c r="F494" s="815"/>
      <c r="G494" s="815"/>
      <c r="H494" s="815"/>
      <c r="I494" s="815"/>
      <c r="J494" s="815"/>
      <c r="K494" s="873"/>
    </row>
    <row r="495" spans="1:11" ht="11.25">
      <c r="A495" s="815"/>
      <c r="B495" s="815"/>
      <c r="C495" s="815"/>
      <c r="D495" s="815"/>
      <c r="E495" s="815"/>
      <c r="F495" s="815"/>
      <c r="G495" s="815"/>
      <c r="H495" s="815"/>
      <c r="I495" s="815"/>
      <c r="J495" s="815"/>
      <c r="K495" s="873"/>
    </row>
    <row r="496" spans="1:11" ht="11.25">
      <c r="A496" s="815"/>
      <c r="B496" s="815"/>
      <c r="C496" s="815"/>
      <c r="D496" s="815"/>
      <c r="E496" s="815"/>
      <c r="F496" s="815"/>
      <c r="G496" s="815"/>
      <c r="H496" s="815"/>
      <c r="I496" s="815"/>
      <c r="J496" s="815"/>
      <c r="K496" s="873"/>
    </row>
    <row r="497" spans="1:11" ht="11.25">
      <c r="A497" s="815"/>
      <c r="B497" s="815"/>
      <c r="C497" s="815"/>
      <c r="D497" s="815"/>
      <c r="E497" s="815"/>
      <c r="F497" s="815"/>
      <c r="G497" s="815"/>
      <c r="H497" s="815"/>
      <c r="I497" s="815"/>
      <c r="J497" s="815"/>
      <c r="K497" s="873"/>
    </row>
    <row r="498" spans="1:11" ht="11.25">
      <c r="A498" s="815"/>
      <c r="B498" s="815"/>
      <c r="C498" s="815"/>
      <c r="D498" s="815"/>
      <c r="E498" s="815"/>
      <c r="F498" s="815"/>
      <c r="G498" s="815"/>
      <c r="H498" s="815"/>
      <c r="I498" s="815"/>
      <c r="J498" s="815"/>
      <c r="K498" s="873"/>
    </row>
    <row r="499" spans="1:11" ht="11.25">
      <c r="A499" s="815"/>
      <c r="B499" s="815"/>
      <c r="C499" s="815"/>
      <c r="D499" s="815"/>
      <c r="E499" s="815"/>
      <c r="F499" s="815"/>
      <c r="G499" s="815"/>
      <c r="H499" s="815"/>
      <c r="I499" s="815"/>
      <c r="J499" s="815"/>
      <c r="K499" s="873"/>
    </row>
    <row r="500" spans="1:11" ht="11.25">
      <c r="A500" s="815"/>
      <c r="B500" s="815"/>
      <c r="C500" s="815"/>
      <c r="D500" s="815"/>
      <c r="E500" s="815"/>
      <c r="F500" s="815"/>
      <c r="G500" s="815"/>
      <c r="H500" s="815"/>
      <c r="I500" s="815"/>
      <c r="J500" s="815"/>
      <c r="K500" s="873"/>
    </row>
    <row r="501" spans="1:11" ht="11.25">
      <c r="A501" s="815"/>
      <c r="B501" s="815"/>
      <c r="C501" s="815"/>
      <c r="D501" s="815"/>
      <c r="E501" s="815"/>
      <c r="F501" s="815"/>
      <c r="G501" s="815"/>
      <c r="H501" s="815"/>
      <c r="I501" s="815"/>
      <c r="J501" s="815"/>
      <c r="K501" s="873"/>
    </row>
    <row r="502" spans="1:11" ht="11.25">
      <c r="A502" s="815"/>
      <c r="B502" s="815"/>
      <c r="C502" s="815"/>
      <c r="D502" s="815"/>
      <c r="E502" s="815"/>
      <c r="F502" s="815"/>
      <c r="G502" s="815"/>
      <c r="H502" s="815"/>
      <c r="I502" s="815"/>
      <c r="J502" s="815"/>
      <c r="K502" s="873"/>
    </row>
    <row r="503" spans="1:11" ht="11.25">
      <c r="A503" s="815"/>
      <c r="B503" s="815"/>
      <c r="C503" s="815"/>
      <c r="D503" s="815"/>
      <c r="E503" s="815"/>
      <c r="F503" s="815"/>
      <c r="G503" s="815"/>
      <c r="H503" s="815"/>
      <c r="I503" s="815"/>
      <c r="J503" s="815"/>
      <c r="K503" s="873"/>
    </row>
    <row r="504" spans="1:11" ht="11.25">
      <c r="A504" s="815"/>
      <c r="B504" s="815"/>
      <c r="C504" s="815"/>
      <c r="D504" s="815"/>
      <c r="E504" s="815"/>
      <c r="F504" s="815"/>
      <c r="G504" s="815"/>
      <c r="H504" s="815"/>
      <c r="I504" s="815"/>
      <c r="J504" s="815"/>
      <c r="K504" s="873"/>
    </row>
    <row r="505" spans="1:11" ht="11.25">
      <c r="A505" s="815"/>
      <c r="B505" s="815"/>
      <c r="C505" s="815"/>
      <c r="D505" s="815"/>
      <c r="E505" s="815"/>
      <c r="F505" s="815"/>
      <c r="G505" s="815"/>
      <c r="H505" s="815"/>
      <c r="I505" s="815"/>
      <c r="J505" s="815"/>
      <c r="K505" s="873"/>
    </row>
    <row r="506" spans="1:11" ht="11.25">
      <c r="A506" s="815"/>
      <c r="B506" s="815"/>
      <c r="C506" s="815"/>
      <c r="D506" s="815"/>
      <c r="E506" s="815"/>
      <c r="F506" s="815"/>
      <c r="G506" s="815"/>
      <c r="H506" s="815"/>
      <c r="I506" s="815"/>
      <c r="J506" s="815"/>
      <c r="K506" s="873"/>
    </row>
    <row r="507" spans="1:11" ht="11.25">
      <c r="A507" s="815"/>
      <c r="B507" s="815"/>
      <c r="C507" s="815"/>
      <c r="D507" s="815"/>
      <c r="E507" s="815"/>
      <c r="F507" s="815"/>
      <c r="G507" s="815"/>
      <c r="H507" s="815"/>
      <c r="I507" s="815"/>
      <c r="J507" s="815"/>
      <c r="K507" s="873"/>
    </row>
    <row r="508" spans="1:11" ht="11.25">
      <c r="A508" s="815"/>
      <c r="B508" s="815"/>
      <c r="C508" s="815"/>
      <c r="D508" s="815"/>
      <c r="E508" s="815"/>
      <c r="F508" s="815"/>
      <c r="G508" s="815"/>
      <c r="H508" s="815"/>
      <c r="I508" s="815"/>
      <c r="J508" s="815"/>
      <c r="K508" s="873"/>
    </row>
    <row r="509" spans="1:11" ht="11.25">
      <c r="A509" s="815"/>
      <c r="B509" s="815"/>
      <c r="C509" s="815"/>
      <c r="D509" s="815"/>
      <c r="E509" s="815"/>
      <c r="F509" s="815"/>
      <c r="G509" s="815"/>
      <c r="H509" s="815"/>
      <c r="I509" s="815"/>
      <c r="J509" s="815"/>
      <c r="K509" s="873"/>
    </row>
    <row r="510" spans="1:11" ht="11.25">
      <c r="A510" s="815"/>
      <c r="B510" s="815"/>
      <c r="C510" s="815"/>
      <c r="D510" s="815"/>
      <c r="E510" s="815"/>
      <c r="F510" s="815"/>
      <c r="G510" s="815"/>
      <c r="H510" s="815"/>
      <c r="I510" s="815"/>
      <c r="J510" s="815"/>
      <c r="K510" s="873"/>
    </row>
    <row r="511" spans="1:11" ht="11.25">
      <c r="A511" s="815"/>
      <c r="B511" s="815"/>
      <c r="C511" s="815"/>
      <c r="D511" s="815"/>
      <c r="E511" s="815"/>
      <c r="F511" s="815"/>
      <c r="G511" s="815"/>
      <c r="H511" s="815"/>
      <c r="I511" s="815"/>
      <c r="J511" s="815"/>
      <c r="K511" s="873"/>
    </row>
    <row r="512" spans="1:11" ht="11.25">
      <c r="A512" s="815"/>
      <c r="B512" s="815"/>
      <c r="C512" s="815"/>
      <c r="D512" s="815"/>
      <c r="E512" s="815"/>
      <c r="F512" s="815"/>
      <c r="G512" s="815"/>
      <c r="H512" s="815"/>
      <c r="I512" s="815"/>
      <c r="J512" s="815"/>
      <c r="K512" s="873"/>
    </row>
    <row r="513" spans="1:11" ht="11.25">
      <c r="A513" s="815"/>
      <c r="B513" s="815"/>
      <c r="C513" s="815"/>
      <c r="D513" s="815"/>
      <c r="E513" s="815"/>
      <c r="F513" s="815"/>
      <c r="G513" s="815"/>
      <c r="H513" s="815"/>
      <c r="I513" s="815"/>
      <c r="J513" s="815"/>
      <c r="K513" s="873"/>
    </row>
    <row r="514" spans="1:11" ht="11.25">
      <c r="A514" s="815"/>
      <c r="B514" s="815"/>
      <c r="C514" s="815"/>
      <c r="D514" s="815"/>
      <c r="E514" s="815"/>
      <c r="F514" s="815"/>
      <c r="G514" s="815"/>
      <c r="H514" s="815"/>
      <c r="I514" s="815"/>
      <c r="J514" s="815"/>
      <c r="K514" s="873"/>
    </row>
    <row r="515" spans="1:11" ht="11.25">
      <c r="A515" s="815"/>
      <c r="B515" s="815"/>
      <c r="C515" s="815"/>
      <c r="D515" s="815"/>
      <c r="E515" s="815"/>
      <c r="F515" s="815"/>
      <c r="G515" s="815"/>
      <c r="H515" s="815"/>
      <c r="I515" s="815"/>
      <c r="J515" s="815"/>
      <c r="K515" s="873"/>
    </row>
    <row r="516" spans="1:11" ht="11.25">
      <c r="A516" s="815"/>
      <c r="B516" s="815"/>
      <c r="C516" s="815"/>
      <c r="D516" s="815"/>
      <c r="E516" s="815"/>
      <c r="F516" s="815"/>
      <c r="G516" s="815"/>
      <c r="H516" s="815"/>
      <c r="I516" s="815"/>
      <c r="J516" s="815"/>
      <c r="K516" s="873"/>
    </row>
    <row r="517" spans="1:11" ht="11.25">
      <c r="A517" s="815"/>
      <c r="B517" s="815"/>
      <c r="C517" s="815"/>
      <c r="D517" s="815"/>
      <c r="E517" s="815"/>
      <c r="F517" s="815"/>
      <c r="G517" s="815"/>
      <c r="H517" s="815"/>
      <c r="I517" s="815"/>
      <c r="J517" s="815"/>
      <c r="K517" s="873"/>
    </row>
    <row r="518" spans="1:11" ht="11.25">
      <c r="A518" s="815"/>
      <c r="B518" s="815"/>
      <c r="C518" s="815"/>
      <c r="D518" s="815"/>
      <c r="E518" s="815"/>
      <c r="F518" s="815"/>
      <c r="G518" s="815"/>
      <c r="H518" s="815"/>
      <c r="I518" s="815"/>
      <c r="J518" s="815"/>
      <c r="K518" s="873"/>
    </row>
    <row r="519" spans="1:11" ht="11.25">
      <c r="A519" s="815"/>
      <c r="B519" s="815"/>
      <c r="C519" s="815"/>
      <c r="D519" s="815"/>
      <c r="E519" s="815"/>
      <c r="F519" s="815"/>
      <c r="G519" s="815"/>
      <c r="H519" s="815"/>
      <c r="I519" s="815"/>
      <c r="J519" s="815"/>
      <c r="K519" s="873"/>
    </row>
    <row r="520" spans="1:11" ht="11.25">
      <c r="A520" s="815"/>
      <c r="B520" s="815"/>
      <c r="C520" s="815"/>
      <c r="D520" s="815"/>
      <c r="E520" s="815"/>
      <c r="F520" s="815"/>
      <c r="G520" s="815"/>
      <c r="H520" s="815"/>
      <c r="I520" s="815"/>
      <c r="J520" s="815"/>
      <c r="K520" s="873"/>
    </row>
    <row r="521" spans="1:11" ht="11.25">
      <c r="A521" s="815"/>
      <c r="B521" s="815"/>
      <c r="C521" s="815"/>
      <c r="D521" s="815"/>
      <c r="E521" s="815"/>
      <c r="F521" s="815"/>
      <c r="G521" s="815"/>
      <c r="H521" s="815"/>
      <c r="I521" s="815"/>
      <c r="J521" s="815"/>
      <c r="K521" s="873"/>
    </row>
    <row r="522" spans="1:11" ht="11.25">
      <c r="A522" s="815"/>
      <c r="B522" s="815"/>
      <c r="C522" s="815"/>
      <c r="D522" s="815"/>
      <c r="E522" s="815"/>
      <c r="F522" s="815"/>
      <c r="G522" s="815"/>
      <c r="H522" s="815"/>
      <c r="I522" s="815"/>
      <c r="J522" s="815"/>
      <c r="K522" s="873"/>
    </row>
    <row r="523" spans="1:11" ht="11.25">
      <c r="A523" s="815"/>
      <c r="B523" s="815"/>
      <c r="C523" s="815"/>
      <c r="D523" s="815"/>
      <c r="E523" s="815"/>
      <c r="F523" s="815"/>
      <c r="G523" s="815"/>
      <c r="H523" s="815"/>
      <c r="I523" s="815"/>
      <c r="J523" s="815"/>
      <c r="K523" s="873"/>
    </row>
    <row r="524" spans="1:11" ht="11.25">
      <c r="A524" s="815"/>
      <c r="B524" s="815"/>
      <c r="C524" s="815"/>
      <c r="D524" s="815"/>
      <c r="E524" s="815"/>
      <c r="F524" s="815"/>
      <c r="G524" s="815"/>
      <c r="H524" s="815"/>
      <c r="I524" s="815"/>
      <c r="J524" s="815"/>
      <c r="K524" s="873"/>
    </row>
    <row r="525" spans="1:11" ht="11.25">
      <c r="A525" s="815"/>
      <c r="B525" s="815"/>
      <c r="C525" s="815"/>
      <c r="D525" s="815"/>
      <c r="E525" s="815"/>
      <c r="F525" s="815"/>
      <c r="G525" s="815"/>
      <c r="H525" s="815"/>
      <c r="I525" s="815"/>
      <c r="J525" s="815"/>
      <c r="K525" s="873"/>
    </row>
    <row r="526" spans="1:11" ht="11.25">
      <c r="A526" s="815"/>
      <c r="B526" s="815"/>
      <c r="C526" s="815"/>
      <c r="D526" s="815"/>
      <c r="E526" s="815"/>
      <c r="F526" s="815"/>
      <c r="G526" s="815"/>
      <c r="H526" s="815"/>
      <c r="I526" s="815"/>
      <c r="J526" s="815"/>
      <c r="K526" s="873"/>
    </row>
    <row r="527" spans="1:11" ht="11.25">
      <c r="A527" s="815"/>
      <c r="B527" s="815"/>
      <c r="C527" s="815"/>
      <c r="D527" s="815"/>
      <c r="E527" s="815"/>
      <c r="F527" s="815"/>
      <c r="G527" s="815"/>
      <c r="H527" s="815"/>
      <c r="I527" s="815"/>
      <c r="J527" s="815"/>
      <c r="K527" s="873"/>
    </row>
    <row r="528" spans="1:11" ht="11.25">
      <c r="A528" s="815"/>
      <c r="B528" s="815"/>
      <c r="C528" s="815"/>
      <c r="D528" s="815"/>
      <c r="E528" s="815"/>
      <c r="F528" s="815"/>
      <c r="G528" s="815"/>
      <c r="H528" s="815"/>
      <c r="I528" s="815"/>
      <c r="J528" s="815"/>
      <c r="K528" s="873"/>
    </row>
    <row r="529" spans="1:11" ht="11.25">
      <c r="A529" s="815"/>
      <c r="B529" s="815"/>
      <c r="C529" s="815"/>
      <c r="D529" s="815"/>
      <c r="E529" s="815"/>
      <c r="F529" s="815"/>
      <c r="G529" s="815"/>
      <c r="H529" s="815"/>
      <c r="I529" s="815"/>
      <c r="J529" s="815"/>
      <c r="K529" s="873"/>
    </row>
    <row r="530" spans="1:11" ht="11.25">
      <c r="A530" s="815"/>
      <c r="B530" s="815"/>
      <c r="C530" s="815"/>
      <c r="D530" s="815"/>
      <c r="E530" s="815"/>
      <c r="F530" s="815"/>
      <c r="G530" s="815"/>
      <c r="H530" s="815"/>
      <c r="I530" s="815"/>
      <c r="J530" s="815"/>
      <c r="K530" s="873"/>
    </row>
    <row r="531" spans="1:11" ht="11.25">
      <c r="A531" s="815"/>
      <c r="B531" s="815"/>
      <c r="C531" s="815"/>
      <c r="D531" s="815"/>
      <c r="E531" s="815"/>
      <c r="F531" s="815"/>
      <c r="G531" s="815"/>
      <c r="H531" s="815"/>
      <c r="I531" s="815"/>
      <c r="J531" s="815"/>
      <c r="K531" s="873"/>
    </row>
    <row r="532" spans="1:11" ht="11.25">
      <c r="A532" s="815"/>
      <c r="B532" s="815"/>
      <c r="C532" s="815"/>
      <c r="D532" s="815"/>
      <c r="E532" s="815"/>
      <c r="F532" s="815"/>
      <c r="G532" s="815"/>
      <c r="H532" s="815"/>
      <c r="I532" s="815"/>
      <c r="J532" s="815"/>
      <c r="K532" s="873"/>
    </row>
    <row r="533" spans="1:11" ht="11.25">
      <c r="A533" s="815"/>
      <c r="B533" s="815"/>
      <c r="C533" s="815"/>
      <c r="D533" s="815"/>
      <c r="E533" s="815"/>
      <c r="F533" s="815"/>
      <c r="G533" s="815"/>
      <c r="H533" s="815"/>
      <c r="I533" s="815"/>
      <c r="J533" s="815"/>
      <c r="K533" s="873"/>
    </row>
    <row r="534" spans="1:11" ht="11.25">
      <c r="A534" s="815"/>
      <c r="B534" s="815"/>
      <c r="C534" s="815"/>
      <c r="D534" s="815"/>
      <c r="E534" s="815"/>
      <c r="F534" s="815"/>
      <c r="G534" s="815"/>
      <c r="H534" s="815"/>
      <c r="I534" s="815"/>
      <c r="J534" s="815"/>
      <c r="K534" s="873"/>
    </row>
    <row r="535" spans="1:11" ht="11.25">
      <c r="A535" s="815"/>
      <c r="B535" s="815"/>
      <c r="C535" s="815"/>
      <c r="D535" s="815"/>
      <c r="E535" s="815"/>
      <c r="F535" s="815"/>
      <c r="G535" s="815"/>
      <c r="H535" s="815"/>
      <c r="I535" s="815"/>
      <c r="J535" s="815"/>
      <c r="K535" s="873"/>
    </row>
    <row r="536" spans="1:11" ht="11.25">
      <c r="A536" s="815"/>
      <c r="B536" s="815"/>
      <c r="C536" s="815"/>
      <c r="D536" s="815"/>
      <c r="E536" s="815"/>
      <c r="F536" s="815"/>
      <c r="G536" s="815"/>
      <c r="H536" s="815"/>
      <c r="I536" s="815"/>
      <c r="J536" s="815"/>
      <c r="K536" s="873"/>
    </row>
    <row r="537" spans="1:11" ht="11.25">
      <c r="A537" s="815"/>
      <c r="B537" s="815"/>
      <c r="C537" s="815"/>
      <c r="D537" s="815"/>
      <c r="E537" s="815"/>
      <c r="F537" s="815"/>
      <c r="G537" s="815"/>
      <c r="H537" s="815"/>
      <c r="I537" s="815"/>
      <c r="J537" s="815"/>
      <c r="K537" s="873"/>
    </row>
    <row r="538" spans="1:11" ht="11.25">
      <c r="A538" s="815"/>
      <c r="B538" s="815"/>
      <c r="C538" s="815"/>
      <c r="D538" s="815"/>
      <c r="E538" s="815"/>
      <c r="F538" s="815"/>
      <c r="G538" s="815"/>
      <c r="H538" s="815"/>
      <c r="I538" s="815"/>
      <c r="J538" s="815"/>
      <c r="K538" s="873"/>
    </row>
    <row r="539" spans="1:11" ht="11.25">
      <c r="A539" s="815"/>
      <c r="B539" s="815"/>
      <c r="C539" s="815"/>
      <c r="D539" s="815"/>
      <c r="E539" s="815"/>
      <c r="F539" s="815"/>
      <c r="G539" s="815"/>
      <c r="H539" s="815"/>
      <c r="I539" s="815"/>
      <c r="J539" s="815"/>
      <c r="K539" s="873"/>
    </row>
    <row r="540" spans="1:11" ht="11.25">
      <c r="A540" s="815"/>
      <c r="B540" s="815"/>
      <c r="C540" s="815"/>
      <c r="D540" s="815"/>
      <c r="E540" s="815"/>
      <c r="F540" s="815"/>
      <c r="G540" s="815"/>
      <c r="H540" s="815"/>
      <c r="I540" s="815"/>
      <c r="J540" s="815"/>
      <c r="K540" s="873"/>
    </row>
    <row r="541" spans="1:11" ht="11.25">
      <c r="A541" s="815"/>
      <c r="B541" s="815"/>
      <c r="C541" s="815"/>
      <c r="D541" s="815"/>
      <c r="E541" s="815"/>
      <c r="F541" s="815"/>
      <c r="G541" s="815"/>
      <c r="H541" s="815"/>
      <c r="I541" s="815"/>
      <c r="J541" s="815"/>
      <c r="K541" s="873"/>
    </row>
    <row r="542" spans="1:11" ht="11.25">
      <c r="A542" s="815"/>
      <c r="B542" s="815"/>
      <c r="C542" s="815"/>
      <c r="D542" s="815"/>
      <c r="E542" s="815"/>
      <c r="F542" s="815"/>
      <c r="G542" s="815"/>
      <c r="H542" s="815"/>
      <c r="I542" s="815"/>
      <c r="J542" s="815"/>
      <c r="K542" s="873"/>
    </row>
    <row r="543" spans="1:11" ht="11.25">
      <c r="A543" s="815"/>
      <c r="B543" s="815"/>
      <c r="C543" s="815"/>
      <c r="D543" s="815"/>
      <c r="E543" s="815"/>
      <c r="F543" s="815"/>
      <c r="G543" s="815"/>
      <c r="H543" s="815"/>
      <c r="I543" s="815"/>
      <c r="J543" s="815"/>
      <c r="K543" s="873"/>
    </row>
    <row r="544" spans="1:11" ht="11.25">
      <c r="A544" s="815"/>
      <c r="B544" s="815"/>
      <c r="C544" s="815"/>
      <c r="D544" s="815"/>
      <c r="E544" s="815"/>
      <c r="F544" s="815"/>
      <c r="G544" s="815"/>
      <c r="H544" s="815"/>
      <c r="I544" s="815"/>
      <c r="J544" s="815"/>
      <c r="K544" s="873"/>
    </row>
    <row r="545" spans="1:11" ht="11.25">
      <c r="A545" s="815"/>
      <c r="B545" s="815"/>
      <c r="C545" s="815"/>
      <c r="D545" s="815"/>
      <c r="E545" s="815"/>
      <c r="F545" s="815"/>
      <c r="G545" s="815"/>
      <c r="H545" s="815"/>
      <c r="I545" s="815"/>
      <c r="J545" s="815"/>
      <c r="K545" s="873"/>
    </row>
    <row r="546" spans="1:11" ht="11.25">
      <c r="A546" s="815"/>
      <c r="B546" s="815"/>
      <c r="C546" s="815"/>
      <c r="D546" s="815"/>
      <c r="E546" s="815"/>
      <c r="F546" s="815"/>
      <c r="G546" s="815"/>
      <c r="H546" s="815"/>
      <c r="I546" s="815"/>
      <c r="J546" s="815"/>
      <c r="K546" s="873"/>
    </row>
    <row r="547" spans="1:11" ht="11.25">
      <c r="A547" s="815"/>
      <c r="B547" s="815"/>
      <c r="C547" s="815"/>
      <c r="D547" s="815"/>
      <c r="E547" s="815"/>
      <c r="F547" s="815"/>
      <c r="G547" s="815"/>
      <c r="H547" s="815"/>
      <c r="I547" s="815"/>
      <c r="J547" s="815"/>
      <c r="K547" s="873"/>
    </row>
    <row r="548" spans="1:11" ht="11.25">
      <c r="A548" s="815"/>
      <c r="B548" s="815"/>
      <c r="C548" s="815"/>
      <c r="D548" s="815"/>
      <c r="E548" s="815"/>
      <c r="F548" s="815"/>
      <c r="G548" s="815"/>
      <c r="H548" s="815"/>
      <c r="I548" s="815"/>
      <c r="J548" s="815"/>
      <c r="K548" s="873"/>
    </row>
    <row r="549" spans="1:11" ht="11.25">
      <c r="A549" s="815"/>
      <c r="B549" s="815"/>
      <c r="C549" s="815"/>
      <c r="D549" s="815"/>
      <c r="E549" s="815"/>
      <c r="F549" s="815"/>
      <c r="G549" s="815"/>
      <c r="H549" s="815"/>
      <c r="I549" s="815"/>
      <c r="J549" s="815"/>
      <c r="K549" s="873"/>
    </row>
    <row r="550" spans="1:11" ht="11.25">
      <c r="A550" s="815"/>
      <c r="B550" s="815"/>
      <c r="C550" s="815"/>
      <c r="D550" s="815"/>
      <c r="E550" s="815"/>
      <c r="F550" s="815"/>
      <c r="G550" s="815"/>
      <c r="H550" s="815"/>
      <c r="I550" s="815"/>
      <c r="J550" s="815"/>
      <c r="K550" s="873"/>
    </row>
    <row r="551" spans="1:11" ht="11.25">
      <c r="A551" s="815"/>
      <c r="B551" s="815"/>
      <c r="C551" s="815"/>
      <c r="D551" s="815"/>
      <c r="E551" s="815"/>
      <c r="F551" s="815"/>
      <c r="G551" s="815"/>
      <c r="H551" s="815"/>
      <c r="I551" s="815"/>
      <c r="J551" s="815"/>
      <c r="K551" s="873"/>
    </row>
    <row r="552" spans="1:11" ht="11.25">
      <c r="A552" s="815"/>
      <c r="B552" s="815"/>
      <c r="C552" s="815"/>
      <c r="D552" s="815"/>
      <c r="E552" s="815"/>
      <c r="F552" s="815"/>
      <c r="G552" s="815"/>
      <c r="H552" s="815"/>
      <c r="I552" s="815"/>
      <c r="J552" s="815"/>
      <c r="K552" s="873"/>
    </row>
    <row r="553" spans="1:11" ht="11.25">
      <c r="A553" s="815"/>
      <c r="B553" s="815"/>
      <c r="C553" s="815"/>
      <c r="D553" s="815"/>
      <c r="E553" s="815"/>
      <c r="F553" s="815"/>
      <c r="G553" s="815"/>
      <c r="H553" s="815"/>
      <c r="I553" s="815"/>
      <c r="J553" s="815"/>
      <c r="K553" s="873"/>
    </row>
    <row r="554" spans="1:11" ht="11.25">
      <c r="A554" s="815"/>
      <c r="B554" s="815"/>
      <c r="C554" s="815"/>
      <c r="D554" s="815"/>
      <c r="E554" s="815"/>
      <c r="F554" s="815"/>
      <c r="G554" s="815"/>
      <c r="H554" s="815"/>
      <c r="I554" s="815"/>
      <c r="J554" s="815"/>
      <c r="K554" s="873"/>
    </row>
    <row r="555" spans="1:11" ht="11.25">
      <c r="A555" s="815"/>
      <c r="B555" s="815"/>
      <c r="C555" s="815"/>
      <c r="D555" s="815"/>
      <c r="E555" s="815"/>
      <c r="F555" s="815"/>
      <c r="G555" s="815"/>
      <c r="H555" s="815"/>
      <c r="I555" s="815"/>
      <c r="J555" s="815"/>
      <c r="K555" s="873"/>
    </row>
    <row r="556" spans="1:11" ht="11.25">
      <c r="A556" s="815"/>
      <c r="B556" s="815"/>
      <c r="C556" s="815"/>
      <c r="D556" s="815"/>
      <c r="E556" s="815"/>
      <c r="F556" s="815"/>
      <c r="G556" s="815"/>
      <c r="H556" s="815"/>
      <c r="I556" s="815"/>
      <c r="J556" s="815"/>
      <c r="K556" s="873"/>
    </row>
    <row r="557" spans="1:11" ht="11.25">
      <c r="A557" s="815"/>
      <c r="B557" s="815"/>
      <c r="C557" s="815"/>
      <c r="D557" s="815"/>
      <c r="E557" s="815"/>
      <c r="F557" s="815"/>
      <c r="G557" s="815"/>
      <c r="H557" s="815"/>
      <c r="I557" s="815"/>
      <c r="J557" s="815"/>
      <c r="K557" s="873"/>
    </row>
    <row r="558" spans="1:11" ht="11.25">
      <c r="A558" s="815"/>
      <c r="B558" s="815"/>
      <c r="C558" s="815"/>
      <c r="D558" s="815"/>
      <c r="E558" s="815"/>
      <c r="F558" s="815"/>
      <c r="G558" s="815"/>
      <c r="H558" s="815"/>
      <c r="I558" s="815"/>
      <c r="J558" s="815"/>
      <c r="K558" s="873"/>
    </row>
    <row r="559" spans="1:11" ht="11.25">
      <c r="A559" s="815"/>
      <c r="B559" s="815"/>
      <c r="C559" s="815"/>
      <c r="D559" s="815"/>
      <c r="E559" s="815"/>
      <c r="F559" s="815"/>
      <c r="G559" s="815"/>
      <c r="H559" s="815"/>
      <c r="I559" s="815"/>
      <c r="J559" s="815"/>
      <c r="K559" s="873"/>
    </row>
    <row r="560" spans="1:11" ht="11.25">
      <c r="A560" s="815"/>
      <c r="B560" s="815"/>
      <c r="C560" s="815"/>
      <c r="D560" s="815"/>
      <c r="E560" s="815"/>
      <c r="F560" s="815"/>
      <c r="G560" s="815"/>
      <c r="H560" s="815"/>
      <c r="I560" s="815"/>
      <c r="J560" s="815"/>
      <c r="K560" s="873"/>
    </row>
    <row r="561" spans="1:11" ht="11.25">
      <c r="A561" s="815"/>
      <c r="B561" s="815"/>
      <c r="C561" s="815"/>
      <c r="D561" s="815"/>
      <c r="E561" s="815"/>
      <c r="F561" s="815"/>
      <c r="G561" s="815"/>
      <c r="H561" s="815"/>
      <c r="I561" s="815"/>
      <c r="J561" s="815"/>
      <c r="K561" s="873"/>
    </row>
    <row r="562" spans="1:11" ht="11.25">
      <c r="A562" s="815"/>
      <c r="B562" s="815"/>
      <c r="C562" s="815"/>
      <c r="D562" s="815"/>
      <c r="E562" s="815"/>
      <c r="F562" s="815"/>
      <c r="G562" s="815"/>
      <c r="H562" s="815"/>
      <c r="I562" s="815"/>
      <c r="J562" s="815"/>
      <c r="K562" s="873"/>
    </row>
    <row r="563" spans="1:11" ht="11.25">
      <c r="A563" s="815"/>
      <c r="B563" s="815"/>
      <c r="C563" s="815"/>
      <c r="D563" s="815"/>
      <c r="E563" s="815"/>
      <c r="F563" s="815"/>
      <c r="G563" s="815"/>
      <c r="H563" s="815"/>
      <c r="I563" s="815"/>
      <c r="J563" s="815"/>
      <c r="K563" s="873"/>
    </row>
    <row r="564" spans="1:11" ht="11.25">
      <c r="A564" s="815"/>
      <c r="B564" s="815"/>
      <c r="C564" s="815"/>
      <c r="D564" s="815"/>
      <c r="E564" s="815"/>
      <c r="F564" s="815"/>
      <c r="G564" s="815"/>
      <c r="H564" s="815"/>
      <c r="I564" s="815"/>
      <c r="J564" s="815"/>
      <c r="K564" s="873"/>
    </row>
    <row r="565" spans="1:11" ht="11.25">
      <c r="A565" s="815"/>
      <c r="B565" s="815"/>
      <c r="C565" s="815"/>
      <c r="D565" s="815"/>
      <c r="E565" s="815"/>
      <c r="F565" s="815"/>
      <c r="G565" s="815"/>
      <c r="H565" s="815"/>
      <c r="I565" s="815"/>
      <c r="J565" s="815"/>
      <c r="K565" s="873"/>
    </row>
    <row r="566" spans="1:11" ht="11.25">
      <c r="A566" s="815"/>
      <c r="B566" s="815"/>
      <c r="C566" s="815"/>
      <c r="D566" s="815"/>
      <c r="E566" s="815"/>
      <c r="F566" s="815"/>
      <c r="G566" s="815"/>
      <c r="H566" s="815"/>
      <c r="I566" s="815"/>
      <c r="J566" s="815"/>
      <c r="K566" s="873"/>
    </row>
    <row r="567" spans="1:11" ht="11.25">
      <c r="A567" s="815"/>
      <c r="B567" s="815"/>
      <c r="C567" s="815"/>
      <c r="D567" s="815"/>
      <c r="E567" s="815"/>
      <c r="F567" s="815"/>
      <c r="G567" s="815"/>
      <c r="H567" s="815"/>
      <c r="I567" s="815"/>
      <c r="J567" s="815"/>
      <c r="K567" s="873"/>
    </row>
    <row r="568" spans="1:11" ht="11.25">
      <c r="A568" s="815"/>
      <c r="B568" s="815"/>
      <c r="C568" s="815"/>
      <c r="D568" s="815"/>
      <c r="E568" s="815"/>
      <c r="F568" s="815"/>
      <c r="G568" s="815"/>
      <c r="H568" s="815"/>
      <c r="I568" s="815"/>
      <c r="J568" s="815"/>
      <c r="K568" s="873"/>
    </row>
    <row r="569" spans="1:11" ht="11.25">
      <c r="A569" s="815"/>
      <c r="B569" s="815"/>
      <c r="C569" s="815"/>
      <c r="D569" s="815"/>
      <c r="E569" s="815"/>
      <c r="F569" s="815"/>
      <c r="G569" s="815"/>
      <c r="H569" s="815"/>
      <c r="I569" s="815"/>
      <c r="J569" s="815"/>
      <c r="K569" s="873"/>
    </row>
    <row r="570" spans="1:11" ht="11.25">
      <c r="A570" s="815"/>
      <c r="B570" s="815"/>
      <c r="C570" s="815"/>
      <c r="D570" s="815"/>
      <c r="E570" s="815"/>
      <c r="F570" s="815"/>
      <c r="G570" s="815"/>
      <c r="H570" s="815"/>
      <c r="I570" s="815"/>
      <c r="J570" s="815"/>
      <c r="K570" s="873"/>
    </row>
    <row r="571" spans="1:11" ht="11.25">
      <c r="A571" s="815"/>
      <c r="B571" s="815"/>
      <c r="C571" s="815"/>
      <c r="D571" s="815"/>
      <c r="E571" s="815"/>
      <c r="F571" s="815"/>
      <c r="G571" s="815"/>
      <c r="H571" s="815"/>
      <c r="I571" s="815"/>
      <c r="J571" s="815"/>
      <c r="K571" s="873"/>
    </row>
    <row r="572" spans="1:11" ht="11.25">
      <c r="A572" s="815"/>
      <c r="B572" s="815"/>
      <c r="C572" s="815"/>
      <c r="D572" s="815"/>
      <c r="E572" s="815"/>
      <c r="F572" s="815"/>
      <c r="G572" s="815"/>
      <c r="H572" s="815"/>
      <c r="I572" s="815"/>
      <c r="J572" s="815"/>
      <c r="K572" s="873"/>
    </row>
    <row r="573" spans="1:11" ht="11.25">
      <c r="A573" s="815"/>
      <c r="B573" s="815"/>
      <c r="C573" s="815"/>
      <c r="D573" s="815"/>
      <c r="E573" s="815"/>
      <c r="F573" s="815"/>
      <c r="G573" s="815"/>
      <c r="H573" s="815"/>
      <c r="I573" s="815"/>
      <c r="J573" s="815"/>
      <c r="K573" s="873"/>
    </row>
    <row r="574" spans="1:11" ht="11.25">
      <c r="A574" s="815"/>
      <c r="B574" s="815"/>
      <c r="C574" s="815"/>
      <c r="D574" s="815"/>
      <c r="E574" s="815"/>
      <c r="F574" s="815"/>
      <c r="G574" s="815"/>
      <c r="H574" s="815"/>
      <c r="I574" s="815"/>
      <c r="J574" s="815"/>
      <c r="K574" s="873"/>
    </row>
    <row r="575" spans="1:11" ht="11.25">
      <c r="A575" s="815"/>
      <c r="B575" s="815"/>
      <c r="C575" s="815"/>
      <c r="D575" s="815"/>
      <c r="E575" s="815"/>
      <c r="F575" s="815"/>
      <c r="G575" s="815"/>
      <c r="H575" s="815"/>
      <c r="I575" s="815"/>
      <c r="J575" s="815"/>
      <c r="K575" s="873"/>
    </row>
    <row r="576" spans="1:11" ht="11.25">
      <c r="A576" s="815"/>
      <c r="B576" s="815"/>
      <c r="C576" s="815"/>
      <c r="D576" s="815"/>
      <c r="E576" s="815"/>
      <c r="F576" s="815"/>
      <c r="G576" s="815"/>
      <c r="H576" s="815"/>
      <c r="I576" s="815"/>
      <c r="J576" s="815"/>
      <c r="K576" s="873"/>
    </row>
    <row r="577" spans="1:11" ht="11.25">
      <c r="A577" s="815"/>
      <c r="B577" s="815"/>
      <c r="C577" s="815"/>
      <c r="D577" s="815"/>
      <c r="E577" s="815"/>
      <c r="F577" s="815"/>
      <c r="G577" s="815"/>
      <c r="H577" s="815"/>
      <c r="I577" s="815"/>
      <c r="J577" s="815"/>
      <c r="K577" s="873"/>
    </row>
    <row r="578" spans="1:11" ht="11.25">
      <c r="A578" s="815"/>
      <c r="B578" s="815"/>
      <c r="C578" s="815"/>
      <c r="D578" s="815"/>
      <c r="E578" s="815"/>
      <c r="F578" s="815"/>
      <c r="G578" s="815"/>
      <c r="H578" s="815"/>
      <c r="I578" s="815"/>
      <c r="J578" s="815"/>
      <c r="K578" s="873"/>
    </row>
    <row r="579" spans="1:11" ht="11.25">
      <c r="A579" s="815"/>
      <c r="B579" s="815"/>
      <c r="C579" s="815"/>
      <c r="D579" s="815"/>
      <c r="E579" s="815"/>
      <c r="F579" s="815"/>
      <c r="G579" s="815"/>
      <c r="H579" s="815"/>
      <c r="I579" s="815"/>
      <c r="J579" s="815"/>
      <c r="K579" s="873"/>
    </row>
    <row r="580" spans="1:11" ht="11.25">
      <c r="A580" s="815"/>
      <c r="B580" s="815"/>
      <c r="C580" s="815"/>
      <c r="D580" s="815"/>
      <c r="E580" s="815"/>
      <c r="F580" s="815"/>
      <c r="G580" s="815"/>
      <c r="H580" s="815"/>
      <c r="I580" s="815"/>
      <c r="J580" s="815"/>
      <c r="K580" s="873"/>
    </row>
    <row r="581" spans="1:11" ht="11.25">
      <c r="A581" s="815"/>
      <c r="B581" s="815"/>
      <c r="C581" s="815"/>
      <c r="D581" s="815"/>
      <c r="E581" s="815"/>
      <c r="F581" s="815"/>
      <c r="G581" s="815"/>
      <c r="H581" s="815"/>
      <c r="I581" s="815"/>
      <c r="J581" s="815"/>
      <c r="K581" s="873"/>
    </row>
    <row r="582" spans="1:11" ht="11.25">
      <c r="A582" s="815"/>
      <c r="B582" s="815"/>
      <c r="C582" s="815"/>
      <c r="D582" s="815"/>
      <c r="E582" s="815"/>
      <c r="F582" s="815"/>
      <c r="G582" s="815"/>
      <c r="H582" s="815"/>
      <c r="I582" s="815"/>
      <c r="J582" s="815"/>
      <c r="K582" s="873"/>
    </row>
    <row r="583" spans="1:11" ht="11.25">
      <c r="A583" s="815"/>
      <c r="B583" s="815"/>
      <c r="C583" s="815"/>
      <c r="D583" s="815"/>
      <c r="E583" s="815"/>
      <c r="F583" s="815"/>
      <c r="G583" s="815"/>
      <c r="H583" s="815"/>
      <c r="I583" s="815"/>
      <c r="J583" s="815"/>
      <c r="K583" s="873"/>
    </row>
    <row r="584" spans="1:11" ht="11.25">
      <c r="A584" s="815"/>
      <c r="B584" s="815"/>
      <c r="C584" s="815"/>
      <c r="D584" s="815"/>
      <c r="E584" s="815"/>
      <c r="F584" s="815"/>
      <c r="G584" s="815"/>
      <c r="H584" s="815"/>
      <c r="I584" s="815"/>
      <c r="J584" s="815"/>
      <c r="K584" s="873"/>
    </row>
    <row r="585" spans="1:11" ht="11.25">
      <c r="A585" s="815"/>
      <c r="B585" s="815"/>
      <c r="C585" s="815"/>
      <c r="D585" s="815"/>
      <c r="E585" s="815"/>
      <c r="F585" s="815"/>
      <c r="G585" s="815"/>
      <c r="H585" s="815"/>
      <c r="I585" s="815"/>
      <c r="J585" s="815"/>
      <c r="K585" s="873"/>
    </row>
    <row r="586" spans="1:11" ht="11.25">
      <c r="A586" s="815"/>
      <c r="B586" s="815"/>
      <c r="C586" s="815"/>
      <c r="D586" s="815"/>
      <c r="E586" s="815"/>
      <c r="F586" s="815"/>
      <c r="G586" s="815"/>
      <c r="H586" s="815"/>
      <c r="I586" s="815"/>
      <c r="J586" s="815"/>
      <c r="K586" s="873"/>
    </row>
    <row r="587" spans="1:11" ht="11.25">
      <c r="A587" s="815"/>
      <c r="B587" s="815"/>
      <c r="C587" s="815"/>
      <c r="D587" s="815"/>
      <c r="E587" s="815"/>
      <c r="F587" s="815"/>
      <c r="G587" s="815"/>
      <c r="H587" s="815"/>
      <c r="I587" s="815"/>
      <c r="J587" s="815"/>
      <c r="K587" s="873"/>
    </row>
    <row r="588" spans="1:11" ht="11.25">
      <c r="A588" s="815"/>
      <c r="B588" s="815"/>
      <c r="C588" s="815"/>
      <c r="D588" s="815"/>
      <c r="E588" s="815"/>
      <c r="F588" s="815"/>
      <c r="G588" s="815"/>
      <c r="H588" s="815"/>
      <c r="I588" s="815"/>
      <c r="J588" s="815"/>
      <c r="K588" s="873"/>
    </row>
    <row r="589" spans="1:11" ht="11.25">
      <c r="A589" s="815"/>
      <c r="B589" s="815"/>
      <c r="C589" s="815"/>
      <c r="D589" s="815"/>
      <c r="E589" s="815"/>
      <c r="F589" s="815"/>
      <c r="G589" s="815"/>
      <c r="H589" s="815"/>
      <c r="I589" s="815"/>
      <c r="J589" s="815"/>
      <c r="K589" s="873"/>
    </row>
    <row r="590" spans="1:11" ht="11.25">
      <c r="A590" s="815"/>
      <c r="B590" s="815"/>
      <c r="C590" s="815"/>
      <c r="D590" s="815"/>
      <c r="E590" s="815"/>
      <c r="F590" s="815"/>
      <c r="G590" s="815"/>
      <c r="H590" s="815"/>
      <c r="I590" s="815"/>
      <c r="J590" s="815"/>
      <c r="K590" s="873"/>
    </row>
    <row r="591" spans="1:11" ht="11.25">
      <c r="A591" s="815"/>
      <c r="B591" s="815"/>
      <c r="C591" s="815"/>
      <c r="D591" s="815"/>
      <c r="E591" s="815"/>
      <c r="F591" s="815"/>
      <c r="G591" s="815"/>
      <c r="H591" s="815"/>
      <c r="I591" s="815"/>
      <c r="J591" s="815"/>
      <c r="K591" s="873"/>
    </row>
    <row r="592" spans="1:11" ht="11.25">
      <c r="A592" s="815"/>
      <c r="B592" s="815"/>
      <c r="C592" s="815"/>
      <c r="D592" s="815"/>
      <c r="E592" s="815"/>
      <c r="F592" s="815"/>
      <c r="G592" s="815"/>
      <c r="H592" s="815"/>
      <c r="I592" s="815"/>
      <c r="J592" s="815"/>
      <c r="K592" s="873"/>
    </row>
    <row r="593" spans="1:11" ht="11.25">
      <c r="A593" s="815"/>
      <c r="B593" s="815"/>
      <c r="C593" s="815"/>
      <c r="D593" s="815"/>
      <c r="E593" s="815"/>
      <c r="F593" s="815"/>
      <c r="G593" s="815"/>
      <c r="H593" s="815"/>
      <c r="I593" s="815"/>
      <c r="J593" s="815"/>
      <c r="K593" s="873"/>
    </row>
    <row r="594" spans="1:11" ht="11.25">
      <c r="A594" s="815"/>
      <c r="B594" s="815"/>
      <c r="C594" s="815"/>
      <c r="D594" s="815"/>
      <c r="E594" s="815"/>
      <c r="F594" s="815"/>
      <c r="G594" s="815"/>
      <c r="H594" s="815"/>
      <c r="I594" s="815"/>
      <c r="J594" s="815"/>
      <c r="K594" s="873"/>
    </row>
    <row r="595" spans="1:11" ht="11.25">
      <c r="A595" s="815"/>
      <c r="B595" s="815"/>
      <c r="C595" s="815"/>
      <c r="D595" s="815"/>
      <c r="E595" s="815"/>
      <c r="F595" s="815"/>
      <c r="G595" s="815"/>
      <c r="H595" s="815"/>
      <c r="I595" s="815"/>
      <c r="J595" s="815"/>
      <c r="K595" s="873"/>
    </row>
    <row r="596" spans="1:11" ht="11.25">
      <c r="A596" s="815"/>
      <c r="B596" s="815"/>
      <c r="C596" s="815"/>
      <c r="D596" s="815"/>
      <c r="E596" s="815"/>
      <c r="F596" s="815"/>
      <c r="G596" s="815"/>
      <c r="H596" s="815"/>
      <c r="I596" s="815"/>
      <c r="J596" s="815"/>
      <c r="K596" s="873"/>
    </row>
    <row r="597" spans="1:11" ht="11.25">
      <c r="A597" s="815"/>
      <c r="B597" s="815"/>
      <c r="C597" s="815"/>
      <c r="D597" s="815"/>
      <c r="E597" s="815"/>
      <c r="F597" s="815"/>
      <c r="G597" s="815"/>
      <c r="H597" s="815"/>
      <c r="I597" s="815"/>
      <c r="J597" s="815"/>
      <c r="K597" s="873"/>
    </row>
    <row r="598" spans="1:11" ht="11.25">
      <c r="A598" s="815"/>
      <c r="B598" s="815"/>
      <c r="C598" s="815"/>
      <c r="D598" s="815"/>
      <c r="E598" s="815"/>
      <c r="F598" s="815"/>
      <c r="G598" s="815"/>
      <c r="H598" s="815"/>
      <c r="I598" s="815"/>
      <c r="J598" s="815"/>
      <c r="K598" s="873"/>
    </row>
    <row r="599" spans="1:11" ht="11.25">
      <c r="A599" s="815"/>
      <c r="B599" s="815"/>
      <c r="C599" s="815"/>
      <c r="D599" s="815"/>
      <c r="E599" s="815"/>
      <c r="F599" s="815"/>
      <c r="G599" s="815"/>
      <c r="H599" s="815"/>
      <c r="I599" s="815"/>
      <c r="J599" s="815"/>
      <c r="K599" s="873"/>
    </row>
    <row r="600" spans="1:11" ht="11.25">
      <c r="A600" s="815"/>
      <c r="B600" s="815"/>
      <c r="C600" s="815"/>
      <c r="D600" s="815"/>
      <c r="E600" s="815"/>
      <c r="F600" s="815"/>
      <c r="G600" s="815"/>
      <c r="H600" s="815"/>
      <c r="I600" s="815"/>
      <c r="J600" s="815"/>
      <c r="K600" s="873"/>
    </row>
    <row r="601" spans="1:11" ht="11.25">
      <c r="A601" s="815"/>
      <c r="B601" s="815"/>
      <c r="C601" s="815"/>
      <c r="D601" s="815"/>
      <c r="E601" s="815"/>
      <c r="F601" s="815"/>
      <c r="G601" s="815"/>
      <c r="H601" s="815"/>
      <c r="I601" s="815"/>
      <c r="J601" s="815"/>
      <c r="K601" s="873"/>
    </row>
    <row r="602" spans="1:11" ht="11.25">
      <c r="A602" s="815"/>
      <c r="B602" s="815"/>
      <c r="C602" s="815"/>
      <c r="D602" s="815"/>
      <c r="E602" s="815"/>
      <c r="F602" s="815"/>
      <c r="G602" s="815"/>
      <c r="H602" s="815"/>
      <c r="I602" s="815"/>
      <c r="J602" s="815"/>
      <c r="K602" s="873"/>
    </row>
    <row r="603" spans="1:11" ht="11.25">
      <c r="A603" s="815"/>
      <c r="B603" s="815"/>
      <c r="C603" s="815"/>
      <c r="D603" s="815"/>
      <c r="E603" s="815"/>
      <c r="F603" s="815"/>
      <c r="G603" s="815"/>
      <c r="H603" s="815"/>
      <c r="I603" s="815"/>
      <c r="J603" s="815"/>
      <c r="K603" s="873"/>
    </row>
    <row r="604" spans="1:11" ht="11.25">
      <c r="A604" s="815"/>
      <c r="B604" s="815"/>
      <c r="C604" s="815"/>
      <c r="D604" s="815"/>
      <c r="E604" s="815"/>
      <c r="F604" s="815"/>
      <c r="G604" s="815"/>
      <c r="H604" s="815"/>
      <c r="I604" s="815"/>
      <c r="J604" s="815"/>
      <c r="K604" s="873"/>
    </row>
    <row r="605" spans="1:11" ht="11.25">
      <c r="A605" s="815"/>
      <c r="B605" s="815"/>
      <c r="C605" s="815"/>
      <c r="D605" s="815"/>
      <c r="E605" s="815"/>
      <c r="F605" s="815"/>
      <c r="G605" s="815"/>
      <c r="H605" s="815"/>
      <c r="I605" s="815"/>
      <c r="J605" s="815"/>
      <c r="K605" s="873"/>
    </row>
    <row r="606" spans="1:11" ht="11.25">
      <c r="A606" s="815"/>
      <c r="B606" s="815"/>
      <c r="C606" s="815"/>
      <c r="D606" s="815"/>
      <c r="E606" s="815"/>
      <c r="F606" s="815"/>
      <c r="G606" s="815"/>
      <c r="H606" s="815"/>
      <c r="I606" s="815"/>
      <c r="J606" s="815"/>
      <c r="K606" s="873"/>
    </row>
    <row r="607" spans="1:11" ht="11.25">
      <c r="A607" s="815"/>
      <c r="B607" s="815"/>
      <c r="C607" s="815"/>
      <c r="D607" s="815"/>
      <c r="E607" s="815"/>
      <c r="F607" s="815"/>
      <c r="G607" s="815"/>
      <c r="H607" s="815"/>
      <c r="I607" s="815"/>
      <c r="J607" s="815"/>
      <c r="K607" s="873"/>
    </row>
    <row r="608" spans="1:11" ht="11.25">
      <c r="A608" s="815"/>
      <c r="B608" s="815"/>
      <c r="C608" s="815"/>
      <c r="D608" s="815"/>
      <c r="E608" s="815"/>
      <c r="F608" s="815"/>
      <c r="G608" s="815"/>
      <c r="H608" s="815"/>
      <c r="I608" s="815"/>
      <c r="J608" s="815"/>
      <c r="K608" s="873"/>
    </row>
    <row r="609" spans="1:11" ht="11.25">
      <c r="A609" s="815"/>
      <c r="B609" s="815"/>
      <c r="C609" s="815"/>
      <c r="D609" s="815"/>
      <c r="E609" s="815"/>
      <c r="F609" s="815"/>
      <c r="G609" s="815"/>
      <c r="H609" s="815"/>
      <c r="I609" s="815"/>
      <c r="J609" s="815"/>
      <c r="K609" s="873"/>
    </row>
    <row r="610" spans="1:11" ht="11.25">
      <c r="A610" s="815"/>
      <c r="B610" s="815"/>
      <c r="C610" s="815"/>
      <c r="D610" s="815"/>
      <c r="E610" s="815"/>
      <c r="F610" s="815"/>
      <c r="G610" s="815"/>
      <c r="H610" s="815"/>
      <c r="I610" s="815"/>
      <c r="J610" s="815"/>
      <c r="K610" s="873"/>
    </row>
    <row r="611" spans="1:11" ht="11.25">
      <c r="A611" s="815"/>
      <c r="B611" s="815"/>
      <c r="C611" s="815"/>
      <c r="D611" s="815"/>
      <c r="E611" s="815"/>
      <c r="F611" s="815"/>
      <c r="G611" s="815"/>
      <c r="H611" s="815"/>
      <c r="I611" s="815"/>
      <c r="J611" s="815"/>
      <c r="K611" s="873"/>
    </row>
    <row r="612" spans="1:11" ht="11.25">
      <c r="A612" s="815"/>
      <c r="B612" s="815"/>
      <c r="C612" s="815"/>
      <c r="D612" s="815"/>
      <c r="E612" s="815"/>
      <c r="F612" s="815"/>
      <c r="G612" s="815"/>
      <c r="H612" s="815"/>
      <c r="I612" s="815"/>
      <c r="J612" s="815"/>
      <c r="K612" s="873"/>
    </row>
    <row r="613" spans="1:11" ht="11.25">
      <c r="A613" s="815"/>
      <c r="B613" s="815"/>
      <c r="C613" s="815"/>
      <c r="D613" s="815"/>
      <c r="E613" s="815"/>
      <c r="F613" s="815"/>
      <c r="G613" s="815"/>
      <c r="H613" s="815"/>
      <c r="I613" s="815"/>
      <c r="J613" s="815"/>
      <c r="K613" s="873"/>
    </row>
    <row r="614" spans="1:11" ht="11.25">
      <c r="A614" s="815"/>
      <c r="B614" s="815"/>
      <c r="C614" s="815"/>
      <c r="D614" s="815"/>
      <c r="E614" s="815"/>
      <c r="F614" s="815"/>
      <c r="G614" s="815"/>
      <c r="H614" s="815"/>
      <c r="I614" s="815"/>
      <c r="J614" s="815"/>
      <c r="K614" s="873"/>
    </row>
    <row r="615" spans="1:11" ht="11.25">
      <c r="A615" s="815"/>
      <c r="B615" s="815"/>
      <c r="C615" s="815"/>
      <c r="D615" s="815"/>
      <c r="E615" s="815"/>
      <c r="F615" s="815"/>
      <c r="G615" s="815"/>
      <c r="H615" s="815"/>
      <c r="I615" s="815"/>
      <c r="J615" s="815"/>
      <c r="K615" s="873"/>
    </row>
    <row r="616" spans="1:11" ht="11.25">
      <c r="A616" s="815"/>
      <c r="B616" s="815"/>
      <c r="C616" s="815"/>
      <c r="D616" s="815"/>
      <c r="E616" s="815"/>
      <c r="F616" s="815"/>
      <c r="G616" s="815"/>
      <c r="H616" s="815"/>
      <c r="I616" s="815"/>
      <c r="J616" s="815"/>
      <c r="K616" s="873"/>
    </row>
    <row r="617" spans="1:11" ht="11.25">
      <c r="A617" s="815"/>
      <c r="B617" s="815"/>
      <c r="C617" s="815"/>
      <c r="D617" s="815"/>
      <c r="E617" s="815"/>
      <c r="F617" s="815"/>
      <c r="G617" s="815"/>
      <c r="H617" s="815"/>
      <c r="I617" s="815"/>
      <c r="J617" s="815"/>
      <c r="K617" s="873"/>
    </row>
    <row r="618" spans="1:11" ht="11.25">
      <c r="A618" s="815"/>
      <c r="B618" s="815"/>
      <c r="C618" s="815"/>
      <c r="D618" s="815"/>
      <c r="E618" s="815"/>
      <c r="F618" s="815"/>
      <c r="G618" s="815"/>
      <c r="H618" s="815"/>
      <c r="I618" s="815"/>
      <c r="J618" s="815"/>
      <c r="K618" s="873"/>
    </row>
    <row r="619" spans="1:11" ht="11.25">
      <c r="A619" s="815"/>
      <c r="B619" s="815"/>
      <c r="C619" s="815"/>
      <c r="D619" s="815"/>
      <c r="E619" s="815"/>
      <c r="F619" s="815"/>
      <c r="G619" s="815"/>
      <c r="H619" s="815"/>
      <c r="I619" s="815"/>
      <c r="J619" s="815"/>
      <c r="K619" s="873"/>
    </row>
    <row r="620" spans="1:11" ht="11.25">
      <c r="A620" s="815"/>
      <c r="B620" s="815"/>
      <c r="C620" s="815"/>
      <c r="D620" s="815"/>
      <c r="E620" s="815"/>
      <c r="F620" s="815"/>
      <c r="G620" s="815"/>
      <c r="H620" s="815"/>
      <c r="I620" s="815"/>
      <c r="J620" s="815"/>
      <c r="K620" s="873"/>
    </row>
    <row r="621" spans="1:11" ht="11.25">
      <c r="A621" s="815"/>
      <c r="B621" s="815"/>
      <c r="C621" s="815"/>
      <c r="D621" s="815"/>
      <c r="E621" s="815"/>
      <c r="F621" s="815"/>
      <c r="G621" s="815"/>
      <c r="H621" s="815"/>
      <c r="I621" s="815"/>
      <c r="J621" s="815"/>
      <c r="K621" s="873"/>
    </row>
    <row r="622" spans="1:11" ht="11.25">
      <c r="A622" s="815"/>
      <c r="B622" s="815"/>
      <c r="C622" s="815"/>
      <c r="D622" s="815"/>
      <c r="E622" s="815"/>
      <c r="F622" s="815"/>
      <c r="G622" s="815"/>
      <c r="H622" s="815"/>
      <c r="I622" s="815"/>
      <c r="J622" s="815"/>
      <c r="K622" s="873"/>
    </row>
    <row r="623" spans="1:11" ht="11.25">
      <c r="A623" s="815"/>
      <c r="B623" s="815"/>
      <c r="C623" s="815"/>
      <c r="D623" s="815"/>
      <c r="E623" s="815"/>
      <c r="F623" s="815"/>
      <c r="G623" s="815"/>
      <c r="H623" s="815"/>
      <c r="I623" s="815"/>
      <c r="J623" s="815"/>
      <c r="K623" s="873"/>
    </row>
    <row r="624" spans="1:11" ht="11.25">
      <c r="A624" s="815"/>
      <c r="B624" s="815"/>
      <c r="C624" s="815"/>
      <c r="D624" s="815"/>
      <c r="E624" s="815"/>
      <c r="F624" s="815"/>
      <c r="G624" s="815"/>
      <c r="H624" s="815"/>
      <c r="I624" s="815"/>
      <c r="J624" s="815"/>
      <c r="K624" s="873"/>
    </row>
    <row r="625" spans="1:11" ht="11.25">
      <c r="A625" s="815"/>
      <c r="B625" s="815"/>
      <c r="C625" s="815"/>
      <c r="D625" s="815"/>
      <c r="E625" s="815"/>
      <c r="F625" s="815"/>
      <c r="G625" s="815"/>
      <c r="H625" s="815"/>
      <c r="I625" s="815"/>
      <c r="J625" s="815"/>
      <c r="K625" s="873"/>
    </row>
    <row r="626" spans="1:11" ht="11.25">
      <c r="A626" s="815"/>
      <c r="B626" s="815"/>
      <c r="C626" s="815"/>
      <c r="D626" s="815"/>
      <c r="E626" s="815"/>
      <c r="F626" s="815"/>
      <c r="G626" s="815"/>
      <c r="H626" s="815"/>
      <c r="I626" s="815"/>
      <c r="J626" s="815"/>
      <c r="K626" s="873"/>
    </row>
    <row r="627" spans="1:11" ht="11.25">
      <c r="A627" s="815"/>
      <c r="B627" s="815"/>
      <c r="C627" s="815"/>
      <c r="D627" s="815"/>
      <c r="E627" s="815"/>
      <c r="F627" s="815"/>
      <c r="G627" s="815"/>
      <c r="H627" s="815"/>
      <c r="I627" s="815"/>
      <c r="J627" s="815"/>
      <c r="K627" s="873"/>
    </row>
    <row r="628" spans="1:11" ht="11.25">
      <c r="A628" s="815"/>
      <c r="B628" s="815"/>
      <c r="C628" s="815"/>
      <c r="D628" s="815"/>
      <c r="E628" s="815"/>
      <c r="F628" s="815"/>
      <c r="G628" s="815"/>
      <c r="H628" s="815"/>
      <c r="I628" s="815"/>
      <c r="J628" s="815"/>
      <c r="K628" s="873"/>
    </row>
    <row r="629" spans="1:11" ht="11.25">
      <c r="A629" s="815"/>
      <c r="B629" s="815"/>
      <c r="C629" s="815"/>
      <c r="D629" s="815"/>
      <c r="E629" s="815"/>
      <c r="F629" s="815"/>
      <c r="G629" s="815"/>
      <c r="H629" s="815"/>
      <c r="I629" s="815"/>
      <c r="J629" s="815"/>
      <c r="K629" s="873"/>
    </row>
    <row r="630" spans="1:11" ht="11.25">
      <c r="A630" s="815"/>
      <c r="B630" s="815"/>
      <c r="C630" s="815"/>
      <c r="D630" s="815"/>
      <c r="E630" s="815"/>
      <c r="F630" s="815"/>
      <c r="G630" s="815"/>
      <c r="H630" s="815"/>
      <c r="I630" s="815"/>
      <c r="J630" s="815"/>
      <c r="K630" s="873"/>
    </row>
    <row r="631" spans="1:11" ht="11.25">
      <c r="A631" s="815"/>
      <c r="B631" s="815"/>
      <c r="C631" s="815"/>
      <c r="D631" s="815"/>
      <c r="E631" s="815"/>
      <c r="F631" s="815"/>
      <c r="G631" s="815"/>
      <c r="H631" s="815"/>
      <c r="I631" s="815"/>
      <c r="J631" s="815"/>
      <c r="K631" s="873"/>
    </row>
    <row r="632" spans="1:11" ht="11.25">
      <c r="A632" s="815"/>
      <c r="B632" s="815"/>
      <c r="C632" s="815"/>
      <c r="D632" s="815"/>
      <c r="E632" s="815"/>
      <c r="F632" s="815"/>
      <c r="G632" s="815"/>
      <c r="H632" s="815"/>
      <c r="I632" s="815"/>
      <c r="J632" s="815"/>
      <c r="K632" s="873"/>
    </row>
    <row r="633" spans="1:11" ht="11.25">
      <c r="A633" s="815"/>
      <c r="B633" s="815"/>
      <c r="C633" s="815"/>
      <c r="D633" s="815"/>
      <c r="E633" s="815"/>
      <c r="F633" s="815"/>
      <c r="G633" s="815"/>
      <c r="H633" s="815"/>
      <c r="I633" s="815"/>
      <c r="J633" s="815"/>
      <c r="K633" s="873"/>
    </row>
    <row r="634" spans="1:11" ht="11.25">
      <c r="A634" s="815"/>
      <c r="B634" s="815"/>
      <c r="C634" s="815"/>
      <c r="D634" s="815"/>
      <c r="E634" s="815"/>
      <c r="F634" s="815"/>
      <c r="G634" s="815"/>
      <c r="H634" s="815"/>
      <c r="I634" s="815"/>
      <c r="J634" s="815"/>
      <c r="K634" s="873"/>
    </row>
    <row r="635" spans="1:11" ht="11.25">
      <c r="A635" s="815"/>
      <c r="B635" s="815"/>
      <c r="C635" s="815"/>
      <c r="D635" s="815"/>
      <c r="E635" s="815"/>
      <c r="F635" s="815"/>
      <c r="G635" s="815"/>
      <c r="H635" s="815"/>
      <c r="I635" s="815"/>
      <c r="J635" s="815"/>
      <c r="K635" s="873"/>
    </row>
    <row r="636" spans="1:11" ht="11.25">
      <c r="A636" s="815"/>
      <c r="B636" s="815"/>
      <c r="C636" s="815"/>
      <c r="D636" s="815"/>
      <c r="E636" s="815"/>
      <c r="F636" s="815"/>
      <c r="G636" s="815"/>
      <c r="H636" s="815"/>
      <c r="I636" s="815"/>
      <c r="J636" s="815"/>
      <c r="K636" s="873"/>
    </row>
    <row r="637" spans="1:11" ht="11.25">
      <c r="A637" s="815"/>
      <c r="B637" s="815"/>
      <c r="C637" s="815"/>
      <c r="D637" s="815"/>
      <c r="E637" s="815"/>
      <c r="F637" s="815"/>
      <c r="G637" s="815"/>
      <c r="H637" s="815"/>
      <c r="I637" s="815"/>
      <c r="J637" s="815"/>
      <c r="K637" s="873"/>
    </row>
    <row r="638" spans="1:11" ht="11.25">
      <c r="A638" s="815"/>
      <c r="B638" s="815"/>
      <c r="C638" s="815"/>
      <c r="D638" s="815"/>
      <c r="E638" s="815"/>
      <c r="F638" s="815"/>
      <c r="G638" s="815"/>
      <c r="H638" s="815"/>
      <c r="I638" s="815"/>
      <c r="J638" s="815"/>
      <c r="K638" s="873"/>
    </row>
    <row r="639" spans="1:11" ht="11.25">
      <c r="A639" s="815"/>
      <c r="B639" s="815"/>
      <c r="C639" s="815"/>
      <c r="D639" s="815"/>
      <c r="E639" s="815"/>
      <c r="F639" s="815"/>
      <c r="G639" s="815"/>
      <c r="H639" s="815"/>
      <c r="I639" s="815"/>
      <c r="J639" s="815"/>
      <c r="K639" s="873"/>
    </row>
    <row r="640" spans="1:11" ht="11.25">
      <c r="A640" s="815"/>
      <c r="B640" s="815"/>
      <c r="C640" s="815"/>
      <c r="D640" s="815"/>
      <c r="E640" s="815"/>
      <c r="F640" s="815"/>
      <c r="G640" s="815"/>
      <c r="H640" s="815"/>
      <c r="I640" s="815"/>
      <c r="J640" s="815"/>
      <c r="K640" s="873"/>
    </row>
    <row r="641" spans="1:11" ht="11.25">
      <c r="A641" s="815"/>
      <c r="B641" s="815"/>
      <c r="C641" s="815"/>
      <c r="D641" s="815"/>
      <c r="E641" s="815"/>
      <c r="F641" s="815"/>
      <c r="G641" s="815"/>
      <c r="H641" s="815"/>
      <c r="I641" s="815"/>
      <c r="J641" s="815"/>
      <c r="K641" s="873"/>
    </row>
    <row r="642" spans="1:11" ht="11.25">
      <c r="A642" s="815"/>
      <c r="B642" s="815"/>
      <c r="C642" s="815"/>
      <c r="D642" s="815"/>
      <c r="E642" s="815"/>
      <c r="F642" s="815"/>
      <c r="G642" s="815"/>
      <c r="H642" s="815"/>
      <c r="I642" s="815"/>
      <c r="J642" s="815"/>
      <c r="K642" s="873"/>
    </row>
    <row r="643" spans="1:11" ht="11.25">
      <c r="A643" s="815"/>
      <c r="B643" s="815"/>
      <c r="C643" s="815"/>
      <c r="D643" s="815"/>
      <c r="E643" s="815"/>
      <c r="F643" s="815"/>
      <c r="G643" s="815"/>
      <c r="H643" s="815"/>
      <c r="I643" s="815"/>
      <c r="J643" s="815"/>
      <c r="K643" s="873"/>
    </row>
    <row r="644" spans="1:11" ht="11.25">
      <c r="A644" s="815"/>
      <c r="B644" s="815"/>
      <c r="C644" s="815"/>
      <c r="D644" s="815"/>
      <c r="E644" s="815"/>
      <c r="F644" s="815"/>
      <c r="G644" s="815"/>
      <c r="H644" s="815"/>
      <c r="I644" s="815"/>
      <c r="J644" s="815"/>
      <c r="K644" s="873"/>
    </row>
    <row r="645" spans="1:11" ht="11.25">
      <c r="A645" s="815"/>
      <c r="B645" s="815"/>
      <c r="C645" s="815"/>
      <c r="D645" s="815"/>
      <c r="E645" s="815"/>
      <c r="F645" s="815"/>
      <c r="G645" s="815"/>
      <c r="H645" s="815"/>
      <c r="I645" s="815"/>
      <c r="J645" s="815"/>
      <c r="K645" s="873"/>
    </row>
    <row r="646" spans="1:11" ht="11.25">
      <c r="A646" s="815"/>
      <c r="B646" s="815"/>
      <c r="C646" s="815"/>
      <c r="D646" s="815"/>
      <c r="E646" s="815"/>
      <c r="F646" s="815"/>
      <c r="G646" s="815"/>
      <c r="H646" s="815"/>
      <c r="I646" s="815"/>
      <c r="J646" s="815"/>
      <c r="K646" s="873"/>
    </row>
    <row r="647" spans="1:11" ht="11.25">
      <c r="A647" s="815"/>
      <c r="B647" s="815"/>
      <c r="C647" s="815"/>
      <c r="D647" s="815"/>
      <c r="E647" s="815"/>
      <c r="F647" s="815"/>
      <c r="G647" s="815"/>
      <c r="H647" s="815"/>
      <c r="I647" s="815"/>
      <c r="J647" s="815"/>
      <c r="K647" s="873"/>
    </row>
    <row r="648" spans="1:11" ht="11.25">
      <c r="A648" s="815"/>
      <c r="B648" s="815"/>
      <c r="C648" s="815"/>
      <c r="D648" s="815"/>
      <c r="E648" s="815"/>
      <c r="F648" s="815"/>
      <c r="G648" s="815"/>
      <c r="H648" s="815"/>
      <c r="I648" s="815"/>
      <c r="J648" s="815"/>
      <c r="K648" s="873"/>
    </row>
    <row r="649" spans="1:11" ht="11.25">
      <c r="A649" s="815"/>
      <c r="B649" s="815"/>
      <c r="C649" s="815"/>
      <c r="D649" s="815"/>
      <c r="E649" s="815"/>
      <c r="F649" s="815"/>
      <c r="G649" s="815"/>
      <c r="H649" s="815"/>
      <c r="I649" s="815"/>
      <c r="J649" s="815"/>
      <c r="K649" s="873"/>
    </row>
    <row r="650" spans="1:11" ht="11.25">
      <c r="A650" s="815"/>
      <c r="B650" s="815"/>
      <c r="C650" s="815"/>
      <c r="D650" s="815"/>
      <c r="E650" s="815"/>
      <c r="F650" s="815"/>
      <c r="G650" s="815"/>
      <c r="H650" s="815"/>
      <c r="I650" s="815"/>
      <c r="J650" s="815"/>
      <c r="K650" s="873"/>
    </row>
    <row r="651" spans="1:11" ht="11.25">
      <c r="A651" s="815"/>
      <c r="B651" s="815"/>
      <c r="C651" s="815"/>
      <c r="D651" s="815"/>
      <c r="E651" s="815"/>
      <c r="F651" s="815"/>
      <c r="G651" s="815"/>
      <c r="H651" s="815"/>
      <c r="I651" s="815"/>
      <c r="J651" s="815"/>
      <c r="K651" s="873"/>
    </row>
    <row r="652" spans="1:11" ht="11.25">
      <c r="A652" s="815"/>
      <c r="B652" s="815"/>
      <c r="C652" s="815"/>
      <c r="D652" s="815"/>
      <c r="E652" s="815"/>
      <c r="F652" s="815"/>
      <c r="G652" s="815"/>
      <c r="H652" s="815"/>
      <c r="I652" s="815"/>
      <c r="J652" s="815"/>
      <c r="K652" s="873"/>
    </row>
    <row r="653" spans="1:11" ht="11.25">
      <c r="A653" s="815"/>
      <c r="B653" s="815"/>
      <c r="C653" s="815"/>
      <c r="D653" s="815"/>
      <c r="E653" s="815"/>
      <c r="F653" s="815"/>
      <c r="G653" s="815"/>
      <c r="H653" s="815"/>
      <c r="I653" s="815"/>
      <c r="J653" s="815"/>
      <c r="K653" s="873"/>
    </row>
    <row r="654" spans="1:11" ht="11.25">
      <c r="A654" s="815"/>
      <c r="B654" s="815"/>
      <c r="C654" s="815"/>
      <c r="D654" s="815"/>
      <c r="E654" s="815"/>
      <c r="F654" s="815"/>
      <c r="G654" s="815"/>
      <c r="H654" s="815"/>
      <c r="I654" s="815"/>
      <c r="J654" s="815"/>
      <c r="K654" s="873"/>
    </row>
    <row r="655" spans="1:11" ht="11.25">
      <c r="A655" s="815"/>
      <c r="B655" s="815"/>
      <c r="C655" s="815"/>
      <c r="D655" s="815"/>
      <c r="E655" s="815"/>
      <c r="F655" s="815"/>
      <c r="G655" s="815"/>
      <c r="H655" s="815"/>
      <c r="I655" s="815"/>
      <c r="J655" s="815"/>
      <c r="K655" s="873"/>
    </row>
    <row r="656" spans="1:11" ht="11.25">
      <c r="A656" s="815"/>
      <c r="B656" s="815"/>
      <c r="C656" s="815"/>
      <c r="D656" s="815"/>
      <c r="E656" s="815"/>
      <c r="F656" s="815"/>
      <c r="G656" s="815"/>
      <c r="H656" s="815"/>
      <c r="I656" s="815"/>
      <c r="J656" s="815"/>
      <c r="K656" s="873"/>
    </row>
    <row r="657" spans="1:11" ht="11.25">
      <c r="A657" s="815"/>
      <c r="B657" s="815"/>
      <c r="C657" s="815"/>
      <c r="D657" s="815"/>
      <c r="E657" s="815"/>
      <c r="F657" s="815"/>
      <c r="G657" s="815"/>
      <c r="H657" s="815"/>
      <c r="I657" s="815"/>
      <c r="J657" s="815"/>
      <c r="K657" s="873"/>
    </row>
    <row r="658" spans="1:11" ht="11.25">
      <c r="A658" s="815"/>
      <c r="B658" s="815"/>
      <c r="C658" s="815"/>
      <c r="D658" s="815"/>
      <c r="E658" s="815"/>
      <c r="F658" s="815"/>
      <c r="G658" s="815"/>
      <c r="H658" s="815"/>
      <c r="I658" s="815"/>
      <c r="J658" s="815"/>
      <c r="K658" s="873"/>
    </row>
    <row r="659" spans="1:11" ht="11.25">
      <c r="A659" s="815"/>
      <c r="B659" s="815"/>
      <c r="C659" s="815"/>
      <c r="D659" s="815"/>
      <c r="E659" s="815"/>
      <c r="F659" s="815"/>
      <c r="G659" s="815"/>
      <c r="H659" s="815"/>
      <c r="I659" s="815"/>
      <c r="J659" s="815"/>
      <c r="K659" s="873"/>
    </row>
    <row r="660" spans="1:11" ht="11.25">
      <c r="A660" s="815"/>
      <c r="B660" s="815"/>
      <c r="C660" s="815"/>
      <c r="D660" s="815"/>
      <c r="E660" s="815"/>
      <c r="F660" s="815"/>
      <c r="G660" s="815"/>
      <c r="H660" s="815"/>
      <c r="I660" s="815"/>
      <c r="J660" s="815"/>
      <c r="K660" s="873"/>
    </row>
    <row r="661" spans="1:11" ht="11.25">
      <c r="A661" s="815"/>
      <c r="B661" s="815"/>
      <c r="C661" s="815"/>
      <c r="D661" s="815"/>
      <c r="E661" s="815"/>
      <c r="F661" s="815"/>
      <c r="G661" s="815"/>
      <c r="H661" s="815"/>
      <c r="I661" s="815"/>
      <c r="J661" s="815"/>
      <c r="K661" s="873"/>
    </row>
    <row r="662" spans="1:11" ht="11.25">
      <c r="A662" s="815"/>
      <c r="B662" s="815"/>
      <c r="C662" s="815"/>
      <c r="D662" s="815"/>
      <c r="E662" s="815"/>
      <c r="F662" s="815"/>
      <c r="G662" s="815"/>
      <c r="H662" s="815"/>
      <c r="I662" s="815"/>
      <c r="J662" s="815"/>
      <c r="K662" s="873"/>
    </row>
    <row r="663" spans="1:11" ht="11.25">
      <c r="A663" s="815"/>
      <c r="B663" s="815"/>
      <c r="C663" s="815"/>
      <c r="D663" s="815"/>
      <c r="E663" s="815"/>
      <c r="F663" s="815"/>
      <c r="G663" s="815"/>
      <c r="H663" s="815"/>
      <c r="I663" s="815"/>
      <c r="J663" s="815"/>
      <c r="K663" s="873"/>
    </row>
    <row r="664" spans="1:11" ht="11.25">
      <c r="A664" s="815"/>
      <c r="B664" s="815"/>
      <c r="C664" s="815"/>
      <c r="D664" s="815"/>
      <c r="E664" s="815"/>
      <c r="F664" s="815"/>
      <c r="G664" s="815"/>
      <c r="H664" s="815"/>
      <c r="I664" s="815"/>
      <c r="J664" s="815"/>
      <c r="K664" s="873"/>
    </row>
    <row r="665" spans="1:11" ht="11.25">
      <c r="A665" s="815"/>
      <c r="B665" s="815"/>
      <c r="C665" s="815"/>
      <c r="D665" s="815"/>
      <c r="E665" s="815"/>
      <c r="F665" s="815"/>
      <c r="G665" s="815"/>
      <c r="H665" s="815"/>
      <c r="I665" s="815"/>
      <c r="J665" s="815"/>
      <c r="K665" s="873"/>
    </row>
    <row r="666" spans="1:11" ht="11.25">
      <c r="A666" s="815"/>
      <c r="B666" s="815"/>
      <c r="C666" s="815"/>
      <c r="D666" s="815"/>
      <c r="E666" s="815"/>
      <c r="F666" s="815"/>
      <c r="G666" s="815"/>
      <c r="H666" s="815"/>
      <c r="I666" s="815"/>
      <c r="J666" s="815"/>
      <c r="K666" s="873"/>
    </row>
    <row r="667" spans="1:11" ht="11.25">
      <c r="A667" s="815"/>
      <c r="B667" s="815"/>
      <c r="C667" s="815"/>
      <c r="D667" s="815"/>
      <c r="E667" s="815"/>
      <c r="F667" s="815"/>
      <c r="G667" s="815"/>
      <c r="H667" s="815"/>
      <c r="I667" s="815"/>
      <c r="J667" s="815"/>
      <c r="K667" s="873"/>
    </row>
    <row r="668" spans="1:11" ht="11.25">
      <c r="A668" s="815"/>
      <c r="B668" s="815"/>
      <c r="C668" s="815"/>
      <c r="D668" s="815"/>
      <c r="E668" s="815"/>
      <c r="F668" s="815"/>
      <c r="G668" s="815"/>
      <c r="H668" s="815"/>
      <c r="I668" s="815"/>
      <c r="J668" s="815"/>
      <c r="K668" s="873"/>
    </row>
    <row r="669" spans="1:11" ht="11.25">
      <c r="A669" s="815"/>
      <c r="B669" s="815"/>
      <c r="C669" s="815"/>
      <c r="D669" s="815"/>
      <c r="E669" s="815"/>
      <c r="F669" s="815"/>
      <c r="G669" s="815"/>
      <c r="H669" s="815"/>
      <c r="I669" s="815"/>
      <c r="J669" s="815"/>
      <c r="K669" s="873"/>
    </row>
    <row r="670" spans="1:11" ht="11.25">
      <c r="A670" s="815"/>
      <c r="B670" s="815"/>
      <c r="C670" s="815"/>
      <c r="D670" s="815"/>
      <c r="E670" s="815"/>
      <c r="F670" s="815"/>
      <c r="G670" s="815"/>
      <c r="H670" s="815"/>
      <c r="I670" s="815"/>
      <c r="J670" s="815"/>
      <c r="K670" s="873"/>
    </row>
    <row r="671" spans="1:11" ht="11.25">
      <c r="A671" s="815"/>
      <c r="B671" s="815"/>
      <c r="C671" s="815"/>
      <c r="D671" s="815"/>
      <c r="E671" s="815"/>
      <c r="F671" s="815"/>
      <c r="G671" s="815"/>
      <c r="H671" s="815"/>
      <c r="I671" s="815"/>
      <c r="J671" s="815"/>
      <c r="K671" s="873"/>
    </row>
    <row r="672" spans="1:11" ht="11.25">
      <c r="A672" s="815"/>
      <c r="B672" s="815"/>
      <c r="C672" s="815"/>
      <c r="D672" s="815"/>
      <c r="E672" s="815"/>
      <c r="F672" s="815"/>
      <c r="G672" s="815"/>
      <c r="H672" s="815"/>
      <c r="I672" s="815"/>
      <c r="J672" s="815"/>
      <c r="K672" s="873"/>
    </row>
    <row r="673" spans="1:11" ht="11.25">
      <c r="A673" s="815"/>
      <c r="B673" s="815"/>
      <c r="C673" s="815"/>
      <c r="D673" s="815"/>
      <c r="E673" s="815"/>
      <c r="F673" s="815"/>
      <c r="G673" s="815"/>
      <c r="H673" s="815"/>
      <c r="I673" s="815"/>
      <c r="J673" s="815"/>
      <c r="K673" s="873"/>
    </row>
    <row r="674" spans="1:11" ht="11.25">
      <c r="A674" s="815"/>
      <c r="B674" s="815"/>
      <c r="C674" s="815"/>
      <c r="D674" s="815"/>
      <c r="E674" s="815"/>
      <c r="F674" s="815"/>
      <c r="G674" s="815"/>
      <c r="H674" s="815"/>
      <c r="I674" s="815"/>
      <c r="J674" s="815"/>
      <c r="K674" s="873"/>
    </row>
    <row r="675" spans="1:11" ht="11.25">
      <c r="A675" s="815"/>
      <c r="B675" s="815"/>
      <c r="C675" s="815"/>
      <c r="D675" s="815"/>
      <c r="E675" s="815"/>
      <c r="F675" s="815"/>
      <c r="G675" s="815"/>
      <c r="H675" s="815"/>
      <c r="I675" s="815"/>
      <c r="J675" s="815"/>
      <c r="K675" s="873"/>
    </row>
    <row r="676" spans="1:11" ht="11.25">
      <c r="A676" s="815"/>
      <c r="B676" s="815"/>
      <c r="C676" s="815"/>
      <c r="D676" s="815"/>
      <c r="E676" s="815"/>
      <c r="F676" s="815"/>
      <c r="G676" s="815"/>
      <c r="H676" s="815"/>
      <c r="I676" s="815"/>
      <c r="J676" s="815"/>
      <c r="K676" s="873"/>
    </row>
    <row r="677" spans="1:11" ht="11.25">
      <c r="A677" s="815"/>
      <c r="B677" s="815"/>
      <c r="C677" s="815"/>
      <c r="D677" s="815"/>
      <c r="E677" s="815"/>
      <c r="F677" s="815"/>
      <c r="G677" s="815"/>
      <c r="H677" s="815"/>
      <c r="I677" s="815"/>
      <c r="J677" s="815"/>
      <c r="K677" s="873"/>
    </row>
    <row r="678" spans="1:11" ht="11.25">
      <c r="A678" s="815"/>
      <c r="B678" s="815"/>
      <c r="C678" s="815"/>
      <c r="D678" s="815"/>
      <c r="E678" s="815"/>
      <c r="F678" s="815"/>
      <c r="G678" s="815"/>
      <c r="H678" s="815"/>
      <c r="I678" s="815"/>
      <c r="J678" s="815"/>
      <c r="K678" s="873"/>
    </row>
    <row r="679" spans="1:11" ht="11.25">
      <c r="A679" s="815"/>
      <c r="B679" s="815"/>
      <c r="C679" s="815"/>
      <c r="D679" s="815"/>
      <c r="E679" s="815"/>
      <c r="F679" s="815"/>
      <c r="G679" s="815"/>
      <c r="H679" s="815"/>
      <c r="I679" s="815"/>
      <c r="J679" s="815"/>
      <c r="K679" s="873"/>
    </row>
    <row r="680" spans="1:11" ht="11.25">
      <c r="A680" s="815"/>
      <c r="B680" s="815"/>
      <c r="C680" s="815"/>
      <c r="D680" s="815"/>
      <c r="E680" s="815"/>
      <c r="F680" s="815"/>
      <c r="G680" s="815"/>
      <c r="H680" s="815"/>
      <c r="I680" s="815"/>
      <c r="J680" s="815"/>
      <c r="K680" s="873"/>
    </row>
    <row r="681" spans="1:11" ht="11.25">
      <c r="A681" s="815"/>
      <c r="B681" s="815"/>
      <c r="F681" s="815"/>
      <c r="G681" s="815"/>
      <c r="H681" s="815"/>
      <c r="I681" s="815"/>
      <c r="J681" s="815"/>
      <c r="K681" s="873"/>
    </row>
    <row r="682" spans="1:11" ht="11.25">
      <c r="A682" s="815"/>
      <c r="B682" s="815"/>
      <c r="F682" s="815"/>
      <c r="G682" s="815"/>
      <c r="H682" s="815"/>
      <c r="I682" s="815"/>
      <c r="J682" s="815"/>
      <c r="K682" s="873"/>
    </row>
    <row r="683" spans="1:11" ht="11.25">
      <c r="A683" s="815"/>
      <c r="B683" s="815"/>
      <c r="F683" s="815"/>
      <c r="G683" s="815"/>
      <c r="H683" s="815"/>
      <c r="I683" s="815"/>
      <c r="J683" s="815"/>
      <c r="K683" s="873"/>
    </row>
    <row r="684" spans="1:11" ht="11.25">
      <c r="A684" s="815"/>
      <c r="B684" s="815"/>
      <c r="F684" s="815"/>
      <c r="G684" s="815"/>
      <c r="H684" s="815"/>
      <c r="I684" s="815"/>
      <c r="J684" s="815"/>
      <c r="K684" s="873"/>
    </row>
    <row r="685" spans="1:11" ht="11.25">
      <c r="A685" s="815"/>
      <c r="B685" s="815"/>
      <c r="F685" s="815"/>
      <c r="G685" s="815"/>
      <c r="H685" s="815"/>
      <c r="I685" s="815"/>
      <c r="J685" s="815"/>
      <c r="K685" s="873"/>
    </row>
    <row r="686" spans="1:11" ht="11.25">
      <c r="A686" s="815"/>
      <c r="B686" s="815"/>
      <c r="F686" s="815"/>
      <c r="G686" s="815"/>
      <c r="H686" s="815"/>
      <c r="I686" s="815"/>
      <c r="J686" s="815"/>
      <c r="K686" s="873"/>
    </row>
    <row r="687" spans="1:11" ht="11.25">
      <c r="A687" s="815"/>
      <c r="B687" s="815"/>
      <c r="F687" s="815"/>
      <c r="G687" s="815"/>
      <c r="H687" s="815"/>
      <c r="I687" s="815"/>
      <c r="J687" s="815"/>
      <c r="K687" s="873"/>
    </row>
    <row r="688" spans="1:11" ht="11.25">
      <c r="A688" s="815"/>
      <c r="B688" s="815"/>
      <c r="F688" s="815"/>
      <c r="G688" s="815"/>
      <c r="H688" s="815"/>
      <c r="I688" s="815"/>
      <c r="J688" s="815"/>
      <c r="K688" s="873"/>
    </row>
    <row r="689" spans="1:11" ht="11.25">
      <c r="A689" s="815"/>
      <c r="B689" s="815"/>
      <c r="F689" s="815"/>
      <c r="G689" s="815"/>
      <c r="H689" s="815"/>
      <c r="I689" s="815"/>
      <c r="J689" s="815"/>
      <c r="K689" s="873"/>
    </row>
  </sheetData>
  <sheetProtection/>
  <mergeCells count="7">
    <mergeCell ref="A48:B48"/>
    <mergeCell ref="A1:E1"/>
    <mergeCell ref="A2:F2"/>
    <mergeCell ref="A5:A7"/>
    <mergeCell ref="B5:D5"/>
    <mergeCell ref="E5:E6"/>
    <mergeCell ref="E7:E14"/>
  </mergeCells>
  <printOptions horizontalCentered="1" verticalCentered="1"/>
  <pageMargins left="0.3937007874015748" right="0.3937007874015748" top="0" bottom="0.2755905511811024" header="0" footer="0.15748031496062992"/>
  <pageSetup horizontalDpi="300" verticalDpi="300" orientation="portrait" paperSize="9" scale="75" r:id="rId1"/>
  <headerFooter alignWithMargins="0">
    <oddHeader>&amp;C2019. évi költségvetés
&amp;R&amp;A</oddHeader>
    <oddFooter>&amp;C&amp;9&amp;P/&amp;N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Z93"/>
  <sheetViews>
    <sheetView view="pageBreakPreview" zoomScale="90" zoomScaleSheetLayoutView="90" workbookViewId="0" topLeftCell="A1">
      <pane xSplit="2" ySplit="2" topLeftCell="C3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C10" sqref="C10"/>
    </sheetView>
  </sheetViews>
  <sheetFormatPr defaultColWidth="9.00390625" defaultRowHeight="12.75"/>
  <cols>
    <col min="1" max="1" width="5.625" style="0" customWidth="1"/>
    <col min="2" max="2" width="66.125" style="0" customWidth="1"/>
    <col min="3" max="24" width="14.875" style="0" customWidth="1"/>
    <col min="25" max="25" width="15.00390625" style="0" customWidth="1"/>
    <col min="26" max="26" width="12.25390625" style="0" bestFit="1" customWidth="1"/>
  </cols>
  <sheetData>
    <row r="1" spans="1:23" ht="36" customHeight="1">
      <c r="A1" s="875"/>
      <c r="B1" s="876"/>
      <c r="C1" s="1454" t="s">
        <v>1154</v>
      </c>
      <c r="D1" s="1454"/>
      <c r="E1" s="1454"/>
      <c r="F1" s="1454"/>
      <c r="G1" s="1454"/>
      <c r="H1" s="1454"/>
      <c r="I1" s="1454"/>
      <c r="J1" s="1454"/>
      <c r="K1" s="1454"/>
      <c r="L1" s="1454" t="s">
        <v>1154</v>
      </c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</row>
    <row r="2" spans="1:23" s="212" customFormat="1" ht="35.25" customHeight="1">
      <c r="A2" s="877" t="s">
        <v>39</v>
      </c>
      <c r="B2" s="878" t="s">
        <v>3</v>
      </c>
      <c r="C2" s="877" t="s">
        <v>1089</v>
      </c>
      <c r="D2" s="877" t="s">
        <v>1090</v>
      </c>
      <c r="E2" s="877" t="s">
        <v>1155</v>
      </c>
      <c r="F2" s="877" t="s">
        <v>1156</v>
      </c>
      <c r="G2" s="877" t="s">
        <v>1157</v>
      </c>
      <c r="H2" s="877" t="s">
        <v>1158</v>
      </c>
      <c r="I2" s="877" t="s">
        <v>1159</v>
      </c>
      <c r="J2" s="877" t="s">
        <v>1160</v>
      </c>
      <c r="K2" s="877" t="s">
        <v>1161</v>
      </c>
      <c r="L2" s="877" t="s">
        <v>1162</v>
      </c>
      <c r="M2" s="877" t="s">
        <v>1163</v>
      </c>
      <c r="N2" s="877" t="s">
        <v>1164</v>
      </c>
      <c r="O2" s="877" t="s">
        <v>1165</v>
      </c>
      <c r="P2" s="877" t="s">
        <v>1166</v>
      </c>
      <c r="Q2" s="877" t="s">
        <v>1167</v>
      </c>
      <c r="R2" s="877" t="s">
        <v>1168</v>
      </c>
      <c r="S2" s="877" t="s">
        <v>1169</v>
      </c>
      <c r="T2" s="877" t="s">
        <v>1170</v>
      </c>
      <c r="U2" s="877" t="s">
        <v>1171</v>
      </c>
      <c r="V2" s="877" t="s">
        <v>1172</v>
      </c>
      <c r="W2" s="877" t="s">
        <v>151</v>
      </c>
    </row>
    <row r="3" spans="1:23" s="882" customFormat="1" ht="21" customHeight="1">
      <c r="A3" s="879" t="s">
        <v>246</v>
      </c>
      <c r="B3" s="879" t="s">
        <v>1173</v>
      </c>
      <c r="C3" s="880">
        <f>+'1. sz. Önkormányzat 2019. '!EB32+'1. sz. Önkormányzat 2019. '!EC32+'1. sz. Önkormányzat 2019. '!ED32+'1. sz. Önkormányzat 2019. '!EE32+'1. sz. Önkormányzat 2019. '!EF32+'1. sz. Önkormányzat 2019. '!EI32-C5</f>
        <v>3680274429</v>
      </c>
      <c r="D3" s="880">
        <f aca="true" t="shared" si="0" ref="D3:S3">+C3*1.001</f>
        <v>3683954703.4289994</v>
      </c>
      <c r="E3" s="880">
        <f t="shared" si="0"/>
        <v>3687638658.132428</v>
      </c>
      <c r="F3" s="880">
        <f t="shared" si="0"/>
        <v>3691326296.7905602</v>
      </c>
      <c r="G3" s="880">
        <f t="shared" si="0"/>
        <v>3695017623.0873504</v>
      </c>
      <c r="H3" s="880">
        <f t="shared" si="0"/>
        <v>3698712640.7104373</v>
      </c>
      <c r="I3" s="880">
        <f t="shared" si="0"/>
        <v>3702411353.351147</v>
      </c>
      <c r="J3" s="880">
        <f t="shared" si="0"/>
        <v>3706113764.704498</v>
      </c>
      <c r="K3" s="880">
        <f t="shared" si="0"/>
        <v>3709819878.469202</v>
      </c>
      <c r="L3" s="880">
        <f t="shared" si="0"/>
        <v>3713529698.347671</v>
      </c>
      <c r="M3" s="880">
        <f t="shared" si="0"/>
        <v>3717243228.046018</v>
      </c>
      <c r="N3" s="880">
        <f t="shared" si="0"/>
        <v>3720960471.2740636</v>
      </c>
      <c r="O3" s="880">
        <f t="shared" si="0"/>
        <v>3724681431.745337</v>
      </c>
      <c r="P3" s="880">
        <f t="shared" si="0"/>
        <v>3728406113.177082</v>
      </c>
      <c r="Q3" s="880">
        <f t="shared" si="0"/>
        <v>3732134519.290259</v>
      </c>
      <c r="R3" s="880">
        <f t="shared" si="0"/>
        <v>3735866653.809549</v>
      </c>
      <c r="S3" s="880">
        <f t="shared" si="0"/>
        <v>3739602520.463358</v>
      </c>
      <c r="T3" s="880">
        <v>2557380000</v>
      </c>
      <c r="U3" s="880">
        <v>2557380000</v>
      </c>
      <c r="V3" s="880">
        <v>2557380000</v>
      </c>
      <c r="W3" s="881">
        <f aca="true" t="shared" si="1" ref="W3:W17">SUM(C3:V3)</f>
        <v>70739833983.82797</v>
      </c>
    </row>
    <row r="4" spans="1:23" s="882" customFormat="1" ht="21" customHeight="1">
      <c r="A4" s="879" t="s">
        <v>247</v>
      </c>
      <c r="B4" s="879" t="s">
        <v>1174</v>
      </c>
      <c r="C4" s="880">
        <v>0</v>
      </c>
      <c r="D4" s="880">
        <v>0</v>
      </c>
      <c r="E4" s="880">
        <v>0</v>
      </c>
      <c r="F4" s="880">
        <v>0</v>
      </c>
      <c r="G4" s="880">
        <v>0</v>
      </c>
      <c r="H4" s="880">
        <v>0</v>
      </c>
      <c r="I4" s="880">
        <v>0</v>
      </c>
      <c r="J4" s="880">
        <v>0</v>
      </c>
      <c r="K4" s="880">
        <v>0</v>
      </c>
      <c r="L4" s="880">
        <v>0</v>
      </c>
      <c r="M4" s="880">
        <v>0</v>
      </c>
      <c r="N4" s="880">
        <v>0</v>
      </c>
      <c r="O4" s="880">
        <v>0</v>
      </c>
      <c r="P4" s="880">
        <v>0</v>
      </c>
      <c r="Q4" s="880">
        <v>0</v>
      </c>
      <c r="R4" s="880">
        <v>0</v>
      </c>
      <c r="S4" s="880">
        <v>0</v>
      </c>
      <c r="T4" s="880">
        <v>0</v>
      </c>
      <c r="U4" s="880">
        <v>0</v>
      </c>
      <c r="V4" s="880">
        <v>0</v>
      </c>
      <c r="W4" s="881">
        <f t="shared" si="1"/>
        <v>0</v>
      </c>
    </row>
    <row r="5" spans="1:23" s="945" customFormat="1" ht="21" customHeight="1">
      <c r="A5" s="1060" t="s">
        <v>248</v>
      </c>
      <c r="B5" s="1060" t="s">
        <v>1175</v>
      </c>
      <c r="C5" s="1061">
        <v>6273769</v>
      </c>
      <c r="D5" s="1061">
        <v>6200000</v>
      </c>
      <c r="E5" s="1061">
        <v>6200000</v>
      </c>
      <c r="F5" s="1061">
        <v>6200000</v>
      </c>
      <c r="G5" s="1061">
        <v>6200000</v>
      </c>
      <c r="H5" s="1061">
        <v>6200000</v>
      </c>
      <c r="I5" s="1061">
        <v>6200000</v>
      </c>
      <c r="J5" s="1061">
        <v>6200000</v>
      </c>
      <c r="K5" s="1061">
        <v>6200000</v>
      </c>
      <c r="L5" s="1061">
        <v>6200000</v>
      </c>
      <c r="M5" s="1061">
        <v>6200000</v>
      </c>
      <c r="N5" s="1061">
        <v>6200000</v>
      </c>
      <c r="O5" s="1061">
        <v>6200000</v>
      </c>
      <c r="P5" s="1061">
        <v>6200000</v>
      </c>
      <c r="Q5" s="1061">
        <v>6200000</v>
      </c>
      <c r="R5" s="1061">
        <v>6200000</v>
      </c>
      <c r="S5" s="1061">
        <v>6200000</v>
      </c>
      <c r="T5" s="1061">
        <v>6200000</v>
      </c>
      <c r="U5" s="1061">
        <v>6200000</v>
      </c>
      <c r="V5" s="1061">
        <v>6200000</v>
      </c>
      <c r="W5" s="1062">
        <f t="shared" si="1"/>
        <v>124073769</v>
      </c>
    </row>
    <row r="6" spans="1:23" s="882" customFormat="1" ht="33.75" customHeight="1">
      <c r="A6" s="879" t="s">
        <v>249</v>
      </c>
      <c r="B6" s="879" t="s">
        <v>1176</v>
      </c>
      <c r="C6" s="880">
        <f>60000000+40000000+D59</f>
        <v>254122474</v>
      </c>
      <c r="D6" s="880">
        <f>+C6-100000000*1.005</f>
        <v>153622474</v>
      </c>
      <c r="E6" s="880">
        <f aca="true" t="shared" si="2" ref="E6:V6">+D6*1.005</f>
        <v>154390586.36999997</v>
      </c>
      <c r="F6" s="880">
        <f t="shared" si="2"/>
        <v>155162539.30184996</v>
      </c>
      <c r="G6" s="880">
        <f t="shared" si="2"/>
        <v>155938351.9983592</v>
      </c>
      <c r="H6" s="880">
        <f t="shared" si="2"/>
        <v>156718043.75835097</v>
      </c>
      <c r="I6" s="880">
        <f t="shared" si="2"/>
        <v>157501633.9771427</v>
      </c>
      <c r="J6" s="880">
        <f t="shared" si="2"/>
        <v>158289142.1470284</v>
      </c>
      <c r="K6" s="880">
        <f t="shared" si="2"/>
        <v>159080587.8577635</v>
      </c>
      <c r="L6" s="880">
        <f t="shared" si="2"/>
        <v>159875990.7970523</v>
      </c>
      <c r="M6" s="880">
        <f t="shared" si="2"/>
        <v>160675370.75103754</v>
      </c>
      <c r="N6" s="880">
        <f t="shared" si="2"/>
        <v>161478747.6047927</v>
      </c>
      <c r="O6" s="880">
        <f t="shared" si="2"/>
        <v>162286141.34281665</v>
      </c>
      <c r="P6" s="880">
        <f t="shared" si="2"/>
        <v>163097572.0495307</v>
      </c>
      <c r="Q6" s="880">
        <f t="shared" si="2"/>
        <v>163913059.90977836</v>
      </c>
      <c r="R6" s="880">
        <f t="shared" si="2"/>
        <v>164732625.20932722</v>
      </c>
      <c r="S6" s="880">
        <f t="shared" si="2"/>
        <v>165556288.33537385</v>
      </c>
      <c r="T6" s="880">
        <f t="shared" si="2"/>
        <v>166384069.7770507</v>
      </c>
      <c r="U6" s="880">
        <f t="shared" si="2"/>
        <v>167215990.12593594</v>
      </c>
      <c r="V6" s="880">
        <f t="shared" si="2"/>
        <v>168052070.0765656</v>
      </c>
      <c r="W6" s="881">
        <f t="shared" si="1"/>
        <v>3308093759.3897567</v>
      </c>
    </row>
    <row r="7" spans="1:23" s="882" customFormat="1" ht="21" customHeight="1">
      <c r="A7" s="879" t="s">
        <v>250</v>
      </c>
      <c r="B7" s="879" t="s">
        <v>1177</v>
      </c>
      <c r="C7" s="880">
        <v>0</v>
      </c>
      <c r="D7" s="880">
        <v>0</v>
      </c>
      <c r="E7" s="880">
        <v>0</v>
      </c>
      <c r="F7" s="880">
        <v>0</v>
      </c>
      <c r="G7" s="880">
        <v>0</v>
      </c>
      <c r="H7" s="880">
        <v>0</v>
      </c>
      <c r="I7" s="880">
        <v>0</v>
      </c>
      <c r="J7" s="880">
        <v>0</v>
      </c>
      <c r="K7" s="880">
        <v>0</v>
      </c>
      <c r="L7" s="880">
        <v>0</v>
      </c>
      <c r="M7" s="880">
        <v>0</v>
      </c>
      <c r="N7" s="880">
        <v>0</v>
      </c>
      <c r="O7" s="880">
        <v>0</v>
      </c>
      <c r="P7" s="880">
        <v>0</v>
      </c>
      <c r="Q7" s="880">
        <v>0</v>
      </c>
      <c r="R7" s="880">
        <v>0</v>
      </c>
      <c r="S7" s="880">
        <v>0</v>
      </c>
      <c r="T7" s="880">
        <v>0</v>
      </c>
      <c r="U7" s="880">
        <v>0</v>
      </c>
      <c r="V7" s="880">
        <v>0</v>
      </c>
      <c r="W7" s="881">
        <f t="shared" si="1"/>
        <v>0</v>
      </c>
    </row>
    <row r="8" spans="1:23" s="882" customFormat="1" ht="21" customHeight="1">
      <c r="A8" s="879" t="s">
        <v>251</v>
      </c>
      <c r="B8" s="879" t="s">
        <v>1178</v>
      </c>
      <c r="C8" s="880">
        <v>0</v>
      </c>
      <c r="D8" s="880">
        <v>0</v>
      </c>
      <c r="E8" s="880">
        <v>0</v>
      </c>
      <c r="F8" s="880">
        <v>0</v>
      </c>
      <c r="G8" s="880">
        <v>0</v>
      </c>
      <c r="H8" s="880">
        <v>0</v>
      </c>
      <c r="I8" s="880">
        <v>0</v>
      </c>
      <c r="J8" s="880">
        <v>0</v>
      </c>
      <c r="K8" s="880">
        <v>0</v>
      </c>
      <c r="L8" s="880">
        <v>0</v>
      </c>
      <c r="M8" s="880">
        <v>0</v>
      </c>
      <c r="N8" s="880">
        <v>0</v>
      </c>
      <c r="O8" s="880">
        <v>0</v>
      </c>
      <c r="P8" s="880">
        <v>0</v>
      </c>
      <c r="Q8" s="880">
        <v>0</v>
      </c>
      <c r="R8" s="880">
        <v>0</v>
      </c>
      <c r="S8" s="880">
        <v>0</v>
      </c>
      <c r="T8" s="880">
        <v>0</v>
      </c>
      <c r="U8" s="880">
        <v>0</v>
      </c>
      <c r="V8" s="880">
        <v>0</v>
      </c>
      <c r="W8" s="881">
        <f t="shared" si="1"/>
        <v>0</v>
      </c>
    </row>
    <row r="9" spans="1:23" s="882" customFormat="1" ht="21" customHeight="1">
      <c r="A9" s="879" t="s">
        <v>252</v>
      </c>
      <c r="B9" s="879" t="s">
        <v>1179</v>
      </c>
      <c r="C9" s="880">
        <v>0</v>
      </c>
      <c r="D9" s="880">
        <v>0</v>
      </c>
      <c r="E9" s="880">
        <v>0</v>
      </c>
      <c r="F9" s="880">
        <v>0</v>
      </c>
      <c r="G9" s="880">
        <v>0</v>
      </c>
      <c r="H9" s="880">
        <v>0</v>
      </c>
      <c r="I9" s="880">
        <v>0</v>
      </c>
      <c r="J9" s="880">
        <v>0</v>
      </c>
      <c r="K9" s="880">
        <v>0</v>
      </c>
      <c r="L9" s="880">
        <v>0</v>
      </c>
      <c r="M9" s="880">
        <v>0</v>
      </c>
      <c r="N9" s="880">
        <v>0</v>
      </c>
      <c r="O9" s="880">
        <v>0</v>
      </c>
      <c r="P9" s="880">
        <v>0</v>
      </c>
      <c r="Q9" s="880">
        <v>0</v>
      </c>
      <c r="R9" s="880">
        <v>0</v>
      </c>
      <c r="S9" s="880">
        <v>0</v>
      </c>
      <c r="T9" s="880">
        <v>0</v>
      </c>
      <c r="U9" s="880">
        <v>0</v>
      </c>
      <c r="V9" s="880">
        <v>0</v>
      </c>
      <c r="W9" s="881">
        <f t="shared" si="1"/>
        <v>0</v>
      </c>
    </row>
    <row r="10" spans="1:23" s="882" customFormat="1" ht="21" customHeight="1">
      <c r="A10" s="879" t="s">
        <v>253</v>
      </c>
      <c r="B10" s="883" t="s">
        <v>1180</v>
      </c>
      <c r="C10" s="881">
        <f aca="true" t="shared" si="3" ref="C10:V10">SUM(C3:C9)</f>
        <v>3940670672</v>
      </c>
      <c r="D10" s="881">
        <f t="shared" si="3"/>
        <v>3843777177.4289994</v>
      </c>
      <c r="E10" s="881">
        <f t="shared" si="3"/>
        <v>3848229244.502428</v>
      </c>
      <c r="F10" s="881">
        <f t="shared" si="3"/>
        <v>3852688836.09241</v>
      </c>
      <c r="G10" s="881">
        <f t="shared" si="3"/>
        <v>3857155975.0857096</v>
      </c>
      <c r="H10" s="881">
        <f t="shared" si="3"/>
        <v>3861630684.468788</v>
      </c>
      <c r="I10" s="881">
        <f t="shared" si="3"/>
        <v>3866112987.32829</v>
      </c>
      <c r="J10" s="881">
        <f t="shared" si="3"/>
        <v>3870602906.8515263</v>
      </c>
      <c r="K10" s="881">
        <f t="shared" si="3"/>
        <v>3875100466.3269653</v>
      </c>
      <c r="L10" s="881">
        <f t="shared" si="3"/>
        <v>3879605689.1447234</v>
      </c>
      <c r="M10" s="881">
        <f t="shared" si="3"/>
        <v>3884118598.7970557</v>
      </c>
      <c r="N10" s="881">
        <f t="shared" si="3"/>
        <v>3888639218.878856</v>
      </c>
      <c r="O10" s="881">
        <f t="shared" si="3"/>
        <v>3893167573.088154</v>
      </c>
      <c r="P10" s="881">
        <f t="shared" si="3"/>
        <v>3897703685.2266126</v>
      </c>
      <c r="Q10" s="881">
        <f t="shared" si="3"/>
        <v>3902247579.200037</v>
      </c>
      <c r="R10" s="881">
        <f t="shared" si="3"/>
        <v>3906799279.018876</v>
      </c>
      <c r="S10" s="881">
        <f t="shared" si="3"/>
        <v>3911358808.798732</v>
      </c>
      <c r="T10" s="881">
        <f t="shared" si="3"/>
        <v>2729964069.7770505</v>
      </c>
      <c r="U10" s="881">
        <f t="shared" si="3"/>
        <v>2730795990.125936</v>
      </c>
      <c r="V10" s="881">
        <f t="shared" si="3"/>
        <v>2731632070.0765657</v>
      </c>
      <c r="W10" s="881">
        <f t="shared" si="1"/>
        <v>74172001512.21771</v>
      </c>
    </row>
    <row r="11" spans="1:23" s="882" customFormat="1" ht="21" customHeight="1">
      <c r="A11" s="879" t="s">
        <v>254</v>
      </c>
      <c r="B11" s="883" t="s">
        <v>1181</v>
      </c>
      <c r="C11" s="881">
        <f aca="true" t="shared" si="4" ref="C11:V11">C10*0.5</f>
        <v>1970335336</v>
      </c>
      <c r="D11" s="881">
        <f t="shared" si="4"/>
        <v>1921888588.7144997</v>
      </c>
      <c r="E11" s="881">
        <f t="shared" si="4"/>
        <v>1924114622.251214</v>
      </c>
      <c r="F11" s="881">
        <f t="shared" si="4"/>
        <v>1926344418.046205</v>
      </c>
      <c r="G11" s="881">
        <f t="shared" si="4"/>
        <v>1928577987.5428548</v>
      </c>
      <c r="H11" s="881">
        <f t="shared" si="4"/>
        <v>1930815342.234394</v>
      </c>
      <c r="I11" s="881">
        <f t="shared" si="4"/>
        <v>1933056493.664145</v>
      </c>
      <c r="J11" s="881">
        <f t="shared" si="4"/>
        <v>1935301453.4257631</v>
      </c>
      <c r="K11" s="881">
        <f t="shared" si="4"/>
        <v>1937550233.1634827</v>
      </c>
      <c r="L11" s="881">
        <f t="shared" si="4"/>
        <v>1939802844.5723617</v>
      </c>
      <c r="M11" s="881">
        <f t="shared" si="4"/>
        <v>1942059299.3985279</v>
      </c>
      <c r="N11" s="881">
        <f t="shared" si="4"/>
        <v>1944319609.439428</v>
      </c>
      <c r="O11" s="881">
        <f t="shared" si="4"/>
        <v>1946583786.544077</v>
      </c>
      <c r="P11" s="881">
        <f t="shared" si="4"/>
        <v>1948851842.6133063</v>
      </c>
      <c r="Q11" s="881">
        <f t="shared" si="4"/>
        <v>1951123789.6000185</v>
      </c>
      <c r="R11" s="881">
        <f t="shared" si="4"/>
        <v>1953399639.509438</v>
      </c>
      <c r="S11" s="881">
        <f t="shared" si="4"/>
        <v>1955679404.399366</v>
      </c>
      <c r="T11" s="881">
        <f t="shared" si="4"/>
        <v>1364982034.8885252</v>
      </c>
      <c r="U11" s="881">
        <f t="shared" si="4"/>
        <v>1365397995.062968</v>
      </c>
      <c r="V11" s="881">
        <f t="shared" si="4"/>
        <v>1365816035.0382829</v>
      </c>
      <c r="W11" s="881">
        <f t="shared" si="1"/>
        <v>37086000756.10886</v>
      </c>
    </row>
    <row r="12" spans="1:23" s="882" customFormat="1" ht="30">
      <c r="A12" s="879" t="s">
        <v>255</v>
      </c>
      <c r="B12" s="883" t="s">
        <v>1182</v>
      </c>
      <c r="C12" s="881">
        <f aca="true" t="shared" si="5" ref="C12:V12">C13+C22+C23+C24+C25+C26+C27+C28</f>
        <v>59013082</v>
      </c>
      <c r="D12" s="881">
        <f t="shared" si="5"/>
        <v>54074052</v>
      </c>
      <c r="E12" s="881">
        <f t="shared" si="5"/>
        <v>52664921</v>
      </c>
      <c r="F12" s="881">
        <f t="shared" si="5"/>
        <v>51255790</v>
      </c>
      <c r="G12" s="881">
        <f t="shared" si="5"/>
        <v>49846659</v>
      </c>
      <c r="H12" s="881">
        <f t="shared" si="5"/>
        <v>48437528</v>
      </c>
      <c r="I12" s="881">
        <f>I13+I22+I23+I24+I25+I26+I27+I28</f>
        <v>47028396</v>
      </c>
      <c r="J12" s="881">
        <f t="shared" si="5"/>
        <v>45619265</v>
      </c>
      <c r="K12" s="881">
        <f t="shared" si="5"/>
        <v>44210133</v>
      </c>
      <c r="L12" s="881">
        <f t="shared" si="5"/>
        <v>42801002</v>
      </c>
      <c r="M12" s="881">
        <f t="shared" si="5"/>
        <v>41391871</v>
      </c>
      <c r="N12" s="881">
        <f t="shared" si="5"/>
        <v>39982739</v>
      </c>
      <c r="O12" s="881">
        <f t="shared" si="5"/>
        <v>38573608</v>
      </c>
      <c r="P12" s="881">
        <f t="shared" si="5"/>
        <v>37164478</v>
      </c>
      <c r="Q12" s="881">
        <f t="shared" si="5"/>
        <v>35755347</v>
      </c>
      <c r="R12" s="881">
        <f t="shared" si="5"/>
        <v>34346215</v>
      </c>
      <c r="S12" s="881">
        <f t="shared" si="5"/>
        <v>32937084</v>
      </c>
      <c r="T12" s="881">
        <f t="shared" si="5"/>
        <v>31527952</v>
      </c>
      <c r="U12" s="881">
        <f t="shared" si="5"/>
        <v>30118820</v>
      </c>
      <c r="V12" s="881">
        <f t="shared" si="5"/>
        <v>21680819</v>
      </c>
      <c r="W12" s="881">
        <f t="shared" si="1"/>
        <v>838429761</v>
      </c>
    </row>
    <row r="13" spans="1:23" ht="21" customHeight="1">
      <c r="A13" s="884" t="s">
        <v>256</v>
      </c>
      <c r="B13" s="879" t="s">
        <v>1183</v>
      </c>
      <c r="C13" s="880">
        <f aca="true" t="shared" si="6" ref="C13:V13">+C14+C18</f>
        <v>59013082</v>
      </c>
      <c r="D13" s="880">
        <f t="shared" si="6"/>
        <v>54074052</v>
      </c>
      <c r="E13" s="880">
        <f t="shared" si="6"/>
        <v>52664921</v>
      </c>
      <c r="F13" s="880">
        <f t="shared" si="6"/>
        <v>51255790</v>
      </c>
      <c r="G13" s="880">
        <f t="shared" si="6"/>
        <v>49846659</v>
      </c>
      <c r="H13" s="880">
        <f t="shared" si="6"/>
        <v>48437528</v>
      </c>
      <c r="I13" s="880">
        <f t="shared" si="6"/>
        <v>47028396</v>
      </c>
      <c r="J13" s="880">
        <f t="shared" si="6"/>
        <v>45619265</v>
      </c>
      <c r="K13" s="880">
        <f t="shared" si="6"/>
        <v>44210133</v>
      </c>
      <c r="L13" s="880">
        <f t="shared" si="6"/>
        <v>42801002</v>
      </c>
      <c r="M13" s="880">
        <f t="shared" si="6"/>
        <v>41391871</v>
      </c>
      <c r="N13" s="880">
        <f t="shared" si="6"/>
        <v>39982739</v>
      </c>
      <c r="O13" s="880">
        <f t="shared" si="6"/>
        <v>38573608</v>
      </c>
      <c r="P13" s="880">
        <f t="shared" si="6"/>
        <v>37164478</v>
      </c>
      <c r="Q13" s="880">
        <f t="shared" si="6"/>
        <v>35755347</v>
      </c>
      <c r="R13" s="880">
        <f t="shared" si="6"/>
        <v>34346215</v>
      </c>
      <c r="S13" s="880">
        <f t="shared" si="6"/>
        <v>32937084</v>
      </c>
      <c r="T13" s="880">
        <f t="shared" si="6"/>
        <v>31527952</v>
      </c>
      <c r="U13" s="880">
        <f t="shared" si="6"/>
        <v>30118820</v>
      </c>
      <c r="V13" s="880">
        <f t="shared" si="6"/>
        <v>21680819</v>
      </c>
      <c r="W13" s="881">
        <f t="shared" si="1"/>
        <v>838429761</v>
      </c>
    </row>
    <row r="14" spans="1:23" ht="21" customHeight="1">
      <c r="A14" s="884" t="s">
        <v>283</v>
      </c>
      <c r="B14" s="879" t="s">
        <v>1184</v>
      </c>
      <c r="C14" s="880">
        <f aca="true" t="shared" si="7" ref="C14:V14">+C15+C16+C17</f>
        <v>31712522</v>
      </c>
      <c r="D14" s="880">
        <f>+D15+D16+D17</f>
        <v>28182624</v>
      </c>
      <c r="E14" s="880">
        <f t="shared" si="7"/>
        <v>28182624</v>
      </c>
      <c r="F14" s="880">
        <f t="shared" si="7"/>
        <v>28182624</v>
      </c>
      <c r="G14" s="880">
        <f t="shared" si="7"/>
        <v>28182624</v>
      </c>
      <c r="H14" s="880">
        <f t="shared" si="7"/>
        <v>28182624</v>
      </c>
      <c r="I14" s="880">
        <f t="shared" si="7"/>
        <v>28182624</v>
      </c>
      <c r="J14" s="880">
        <f t="shared" si="7"/>
        <v>28182624</v>
      </c>
      <c r="K14" s="880">
        <f t="shared" si="7"/>
        <v>28182624</v>
      </c>
      <c r="L14" s="880">
        <f t="shared" si="7"/>
        <v>28182624</v>
      </c>
      <c r="M14" s="880">
        <f t="shared" si="7"/>
        <v>28182624</v>
      </c>
      <c r="N14" s="880">
        <f t="shared" si="7"/>
        <v>28182624</v>
      </c>
      <c r="O14" s="880">
        <f t="shared" si="7"/>
        <v>28182624</v>
      </c>
      <c r="P14" s="880">
        <f t="shared" si="7"/>
        <v>28182624</v>
      </c>
      <c r="Q14" s="880">
        <f t="shared" si="7"/>
        <v>28182624</v>
      </c>
      <c r="R14" s="880">
        <f t="shared" si="7"/>
        <v>28182624</v>
      </c>
      <c r="S14" s="880">
        <f t="shared" si="7"/>
        <v>28182624</v>
      </c>
      <c r="T14" s="880">
        <f t="shared" si="7"/>
        <v>28182624</v>
      </c>
      <c r="U14" s="880">
        <f t="shared" si="7"/>
        <v>28182624</v>
      </c>
      <c r="V14" s="880">
        <f t="shared" si="7"/>
        <v>21109809</v>
      </c>
      <c r="W14" s="885">
        <f t="shared" si="1"/>
        <v>560109563</v>
      </c>
    </row>
    <row r="15" spans="1:25" ht="15.75" customHeight="1">
      <c r="A15" s="884" t="s">
        <v>1185</v>
      </c>
      <c r="B15" s="879" t="s">
        <v>1186</v>
      </c>
      <c r="C15" s="880">
        <v>12179490</v>
      </c>
      <c r="D15" s="880">
        <v>9743592</v>
      </c>
      <c r="E15" s="880">
        <v>9743592</v>
      </c>
      <c r="F15" s="880">
        <v>9743592</v>
      </c>
      <c r="G15" s="880">
        <v>9743592</v>
      </c>
      <c r="H15" s="880">
        <v>9743592</v>
      </c>
      <c r="I15" s="880">
        <v>9743592</v>
      </c>
      <c r="J15" s="880">
        <v>9743592</v>
      </c>
      <c r="K15" s="880">
        <v>9743592</v>
      </c>
      <c r="L15" s="880">
        <v>9743592</v>
      </c>
      <c r="M15" s="880">
        <v>9743592</v>
      </c>
      <c r="N15" s="880">
        <v>9743592</v>
      </c>
      <c r="O15" s="880">
        <v>9743592</v>
      </c>
      <c r="P15" s="880">
        <v>9743592</v>
      </c>
      <c r="Q15" s="880">
        <v>9743592</v>
      </c>
      <c r="R15" s="880">
        <v>9743592</v>
      </c>
      <c r="S15" s="880">
        <v>9743592</v>
      </c>
      <c r="T15" s="880">
        <v>9743592</v>
      </c>
      <c r="U15" s="880">
        <v>9743592</v>
      </c>
      <c r="V15" s="880">
        <v>9743629</v>
      </c>
      <c r="W15" s="885">
        <f t="shared" si="1"/>
        <v>197307775</v>
      </c>
      <c r="Y15" s="886">
        <f>SUM(C15:V15)</f>
        <v>197307775</v>
      </c>
    </row>
    <row r="16" spans="1:25" ht="30">
      <c r="A16" s="884" t="s">
        <v>1187</v>
      </c>
      <c r="B16" s="879" t="s">
        <v>1188</v>
      </c>
      <c r="C16" s="880">
        <v>5470000</v>
      </c>
      <c r="D16" s="880">
        <v>4376000</v>
      </c>
      <c r="E16" s="880">
        <v>4376000</v>
      </c>
      <c r="F16" s="880">
        <v>4376000</v>
      </c>
      <c r="G16" s="880">
        <v>4376000</v>
      </c>
      <c r="H16" s="880">
        <v>4376000</v>
      </c>
      <c r="I16" s="880">
        <v>4376000</v>
      </c>
      <c r="J16" s="880">
        <v>4376000</v>
      </c>
      <c r="K16" s="880">
        <v>4376000</v>
      </c>
      <c r="L16" s="880">
        <v>4376000</v>
      </c>
      <c r="M16" s="880">
        <v>4376000</v>
      </c>
      <c r="N16" s="880">
        <v>4376000</v>
      </c>
      <c r="O16" s="880">
        <v>4376000</v>
      </c>
      <c r="P16" s="880">
        <v>4376000</v>
      </c>
      <c r="Q16" s="880">
        <v>4376000</v>
      </c>
      <c r="R16" s="880">
        <v>4376000</v>
      </c>
      <c r="S16" s="880">
        <v>4376000</v>
      </c>
      <c r="T16" s="880">
        <v>4376000</v>
      </c>
      <c r="U16" s="880">
        <v>4376000</v>
      </c>
      <c r="V16" s="880">
        <v>4334633</v>
      </c>
      <c r="W16" s="885">
        <f t="shared" si="1"/>
        <v>88572633</v>
      </c>
      <c r="Y16" s="886">
        <f aca="true" t="shared" si="8" ref="Y16:Y21">SUM(C16:V16)</f>
        <v>88572633</v>
      </c>
    </row>
    <row r="17" spans="1:25" s="811" customFormat="1" ht="17.25" customHeight="1">
      <c r="A17" s="879" t="s">
        <v>1189</v>
      </c>
      <c r="B17" s="879" t="s">
        <v>1190</v>
      </c>
      <c r="C17" s="880">
        <v>14063032</v>
      </c>
      <c r="D17" s="880">
        <v>14063032</v>
      </c>
      <c r="E17" s="880">
        <v>14063032</v>
      </c>
      <c r="F17" s="880">
        <v>14063032</v>
      </c>
      <c r="G17" s="880">
        <v>14063032</v>
      </c>
      <c r="H17" s="880">
        <v>14063032</v>
      </c>
      <c r="I17" s="880">
        <v>14063032</v>
      </c>
      <c r="J17" s="880">
        <v>14063032</v>
      </c>
      <c r="K17" s="880">
        <v>14063032</v>
      </c>
      <c r="L17" s="880">
        <v>14063032</v>
      </c>
      <c r="M17" s="880">
        <v>14063032</v>
      </c>
      <c r="N17" s="880">
        <v>14063032</v>
      </c>
      <c r="O17" s="880">
        <v>14063032</v>
      </c>
      <c r="P17" s="880">
        <v>14063032</v>
      </c>
      <c r="Q17" s="880">
        <v>14063032</v>
      </c>
      <c r="R17" s="880">
        <v>14063032</v>
      </c>
      <c r="S17" s="880">
        <v>14063032</v>
      </c>
      <c r="T17" s="880">
        <v>14063032</v>
      </c>
      <c r="U17" s="880">
        <v>14063032</v>
      </c>
      <c r="V17" s="880">
        <v>7031547</v>
      </c>
      <c r="W17" s="881">
        <f t="shared" si="1"/>
        <v>274229155</v>
      </c>
      <c r="Y17" s="886">
        <f t="shared" si="8"/>
        <v>274229155</v>
      </c>
    </row>
    <row r="18" spans="1:25" s="811" customFormat="1" ht="15.75" customHeight="1">
      <c r="A18" s="879" t="s">
        <v>284</v>
      </c>
      <c r="B18" s="879" t="s">
        <v>1191</v>
      </c>
      <c r="C18" s="880">
        <f aca="true" t="shared" si="9" ref="C18:W18">SUM(C19:C21)</f>
        <v>27300560</v>
      </c>
      <c r="D18" s="880">
        <f t="shared" si="9"/>
        <v>25891428</v>
      </c>
      <c r="E18" s="880">
        <f t="shared" si="9"/>
        <v>24482297</v>
      </c>
      <c r="F18" s="880">
        <f t="shared" si="9"/>
        <v>23073166</v>
      </c>
      <c r="G18" s="880">
        <f t="shared" si="9"/>
        <v>21664035</v>
      </c>
      <c r="H18" s="880">
        <f t="shared" si="9"/>
        <v>20254904</v>
      </c>
      <c r="I18" s="880">
        <f t="shared" si="9"/>
        <v>18845772</v>
      </c>
      <c r="J18" s="880">
        <f t="shared" si="9"/>
        <v>17436641</v>
      </c>
      <c r="K18" s="880">
        <f t="shared" si="9"/>
        <v>16027509</v>
      </c>
      <c r="L18" s="880">
        <f t="shared" si="9"/>
        <v>14618378</v>
      </c>
      <c r="M18" s="880">
        <f t="shared" si="9"/>
        <v>13209247</v>
      </c>
      <c r="N18" s="880">
        <f t="shared" si="9"/>
        <v>11800115</v>
      </c>
      <c r="O18" s="880">
        <f t="shared" si="9"/>
        <v>10390984</v>
      </c>
      <c r="P18" s="880">
        <f t="shared" si="9"/>
        <v>8981854</v>
      </c>
      <c r="Q18" s="880">
        <f t="shared" si="9"/>
        <v>7572723</v>
      </c>
      <c r="R18" s="880">
        <f t="shared" si="9"/>
        <v>6163591</v>
      </c>
      <c r="S18" s="880">
        <f t="shared" si="9"/>
        <v>4754460</v>
      </c>
      <c r="T18" s="880">
        <f t="shared" si="9"/>
        <v>3345328</v>
      </c>
      <c r="U18" s="880">
        <f t="shared" si="9"/>
        <v>1936196</v>
      </c>
      <c r="V18" s="880">
        <f t="shared" si="9"/>
        <v>571010</v>
      </c>
      <c r="W18" s="881">
        <f t="shared" si="9"/>
        <v>278320198</v>
      </c>
      <c r="Y18" s="886">
        <f t="shared" si="8"/>
        <v>278320198</v>
      </c>
    </row>
    <row r="19" spans="1:25" s="811" customFormat="1" ht="17.25" customHeight="1">
      <c r="A19" s="879" t="s">
        <v>1192</v>
      </c>
      <c r="B19" s="879" t="s">
        <v>1186</v>
      </c>
      <c r="C19" s="880">
        <v>9560902</v>
      </c>
      <c r="D19" s="880">
        <v>9073722</v>
      </c>
      <c r="E19" s="880">
        <v>8586542</v>
      </c>
      <c r="F19" s="880">
        <v>8099363</v>
      </c>
      <c r="G19" s="880">
        <v>7612183</v>
      </c>
      <c r="H19" s="880">
        <v>7125004</v>
      </c>
      <c r="I19" s="880">
        <v>6637824</v>
      </c>
      <c r="J19" s="880">
        <v>6150644</v>
      </c>
      <c r="K19" s="880">
        <v>5663465</v>
      </c>
      <c r="L19" s="880">
        <v>5176285</v>
      </c>
      <c r="M19" s="880">
        <v>4689106</v>
      </c>
      <c r="N19" s="880">
        <v>4201926</v>
      </c>
      <c r="O19" s="880">
        <v>3714746</v>
      </c>
      <c r="P19" s="880">
        <v>3227567</v>
      </c>
      <c r="Q19" s="880">
        <v>2740387</v>
      </c>
      <c r="R19" s="880">
        <v>2253208</v>
      </c>
      <c r="S19" s="880">
        <v>1766028</v>
      </c>
      <c r="T19" s="880">
        <v>1278848</v>
      </c>
      <c r="U19" s="880">
        <v>791668</v>
      </c>
      <c r="V19" s="880">
        <v>304488</v>
      </c>
      <c r="W19" s="881">
        <f aca="true" t="shared" si="10" ref="W19:W31">SUM(C19:V19)</f>
        <v>98653906</v>
      </c>
      <c r="Y19" s="886">
        <f t="shared" si="8"/>
        <v>98653906</v>
      </c>
    </row>
    <row r="20" spans="1:25" s="811" customFormat="1" ht="30">
      <c r="A20" s="879" t="s">
        <v>1193</v>
      </c>
      <c r="B20" s="879" t="s">
        <v>1188</v>
      </c>
      <c r="C20" s="880">
        <v>4291882</v>
      </c>
      <c r="D20" s="880">
        <v>4073082</v>
      </c>
      <c r="E20" s="880">
        <v>3854282</v>
      </c>
      <c r="F20" s="880">
        <v>3635482</v>
      </c>
      <c r="G20" s="880">
        <v>3416682</v>
      </c>
      <c r="H20" s="880">
        <v>3197882</v>
      </c>
      <c r="I20" s="880">
        <v>2979082</v>
      </c>
      <c r="J20" s="880">
        <v>2760282</v>
      </c>
      <c r="K20" s="880">
        <v>2541481</v>
      </c>
      <c r="L20" s="880">
        <v>2322681</v>
      </c>
      <c r="M20" s="880">
        <v>2103881</v>
      </c>
      <c r="N20" s="880">
        <v>1885081</v>
      </c>
      <c r="O20" s="880">
        <v>1666281</v>
      </c>
      <c r="P20" s="880">
        <v>1447482</v>
      </c>
      <c r="Q20" s="880">
        <v>1228682</v>
      </c>
      <c r="R20" s="880">
        <v>1009881</v>
      </c>
      <c r="S20" s="880">
        <v>791082</v>
      </c>
      <c r="T20" s="880">
        <v>572281</v>
      </c>
      <c r="U20" s="880">
        <v>353482</v>
      </c>
      <c r="V20" s="880">
        <v>134681</v>
      </c>
      <c r="W20" s="881">
        <f t="shared" si="10"/>
        <v>44265632</v>
      </c>
      <c r="Y20" s="886">
        <f t="shared" si="8"/>
        <v>44265632</v>
      </c>
    </row>
    <row r="21" spans="1:25" s="811" customFormat="1" ht="15">
      <c r="A21" s="879" t="s">
        <v>1194</v>
      </c>
      <c r="B21" s="879" t="s">
        <v>1190</v>
      </c>
      <c r="C21" s="880">
        <v>13447776</v>
      </c>
      <c r="D21" s="880">
        <v>12744624</v>
      </c>
      <c r="E21" s="880">
        <v>12041473</v>
      </c>
      <c r="F21" s="880">
        <v>11338321</v>
      </c>
      <c r="G21" s="880">
        <v>10635170</v>
      </c>
      <c r="H21" s="880">
        <v>9932018</v>
      </c>
      <c r="I21" s="880">
        <v>9228866</v>
      </c>
      <c r="J21" s="880">
        <v>8525715</v>
      </c>
      <c r="K21" s="880">
        <v>7822563</v>
      </c>
      <c r="L21" s="880">
        <v>7119412</v>
      </c>
      <c r="M21" s="880">
        <v>6416260</v>
      </c>
      <c r="N21" s="880">
        <v>5713108</v>
      </c>
      <c r="O21" s="880">
        <v>5009957</v>
      </c>
      <c r="P21" s="880">
        <v>4306805</v>
      </c>
      <c r="Q21" s="880">
        <v>3603654</v>
      </c>
      <c r="R21" s="880">
        <v>2900502</v>
      </c>
      <c r="S21" s="880">
        <v>2197350</v>
      </c>
      <c r="T21" s="880">
        <v>1494199</v>
      </c>
      <c r="U21" s="880">
        <v>791046</v>
      </c>
      <c r="V21" s="880">
        <v>131841</v>
      </c>
      <c r="W21" s="881">
        <f t="shared" si="10"/>
        <v>135400660</v>
      </c>
      <c r="Y21" s="886">
        <f t="shared" si="8"/>
        <v>135400660</v>
      </c>
    </row>
    <row r="22" spans="1:23" s="811" customFormat="1" ht="20.25" customHeight="1">
      <c r="A22" s="879" t="s">
        <v>285</v>
      </c>
      <c r="B22" s="879" t="s">
        <v>1195</v>
      </c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1">
        <f t="shared" si="10"/>
        <v>0</v>
      </c>
    </row>
    <row r="23" spans="1:23" s="811" customFormat="1" ht="21" customHeight="1">
      <c r="A23" s="879" t="s">
        <v>286</v>
      </c>
      <c r="B23" s="879" t="s">
        <v>1196</v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1">
        <f t="shared" si="10"/>
        <v>0</v>
      </c>
    </row>
    <row r="24" spans="1:23" s="811" customFormat="1" ht="21" customHeight="1">
      <c r="A24" s="879" t="s">
        <v>287</v>
      </c>
      <c r="B24" s="879" t="s">
        <v>1197</v>
      </c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1">
        <f t="shared" si="10"/>
        <v>0</v>
      </c>
    </row>
    <row r="25" spans="1:23" s="811" customFormat="1" ht="20.25" customHeight="1">
      <c r="A25" s="879" t="s">
        <v>288</v>
      </c>
      <c r="B25" s="879" t="s">
        <v>1198</v>
      </c>
      <c r="C25" s="880"/>
      <c r="D25" s="880"/>
      <c r="E25" s="880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0"/>
      <c r="V25" s="880"/>
      <c r="W25" s="881">
        <f t="shared" si="10"/>
        <v>0</v>
      </c>
    </row>
    <row r="26" spans="1:23" s="811" customFormat="1" ht="20.25" customHeight="1">
      <c r="A26" s="879" t="s">
        <v>289</v>
      </c>
      <c r="B26" s="879" t="s">
        <v>1199</v>
      </c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880"/>
      <c r="N26" s="880"/>
      <c r="O26" s="880"/>
      <c r="P26" s="880"/>
      <c r="Q26" s="880"/>
      <c r="R26" s="880"/>
      <c r="S26" s="880"/>
      <c r="T26" s="880"/>
      <c r="U26" s="880"/>
      <c r="V26" s="880"/>
      <c r="W26" s="881">
        <f t="shared" si="10"/>
        <v>0</v>
      </c>
    </row>
    <row r="27" spans="1:23" s="811" customFormat="1" ht="22.5" customHeight="1">
      <c r="A27" s="879" t="s">
        <v>290</v>
      </c>
      <c r="B27" s="879" t="s">
        <v>1200</v>
      </c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1">
        <f t="shared" si="10"/>
        <v>0</v>
      </c>
    </row>
    <row r="28" spans="1:23" s="811" customFormat="1" ht="22.5" customHeight="1">
      <c r="A28" s="879" t="s">
        <v>291</v>
      </c>
      <c r="B28" s="879" t="s">
        <v>1201</v>
      </c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1">
        <f t="shared" si="10"/>
        <v>0</v>
      </c>
    </row>
    <row r="29" spans="1:23" s="811" customFormat="1" ht="30">
      <c r="A29" s="879" t="s">
        <v>322</v>
      </c>
      <c r="B29" s="883" t="s">
        <v>1202</v>
      </c>
      <c r="C29" s="881">
        <f aca="true" t="shared" si="11" ref="C29:V29">C30+C39+C40+C41+C42+C43+C44+C45</f>
        <v>0</v>
      </c>
      <c r="D29" s="881">
        <f t="shared" si="11"/>
        <v>0</v>
      </c>
      <c r="E29" s="881">
        <f t="shared" si="11"/>
        <v>0</v>
      </c>
      <c r="F29" s="881">
        <f t="shared" si="11"/>
        <v>0</v>
      </c>
      <c r="G29" s="881">
        <f t="shared" si="11"/>
        <v>0</v>
      </c>
      <c r="H29" s="881">
        <f t="shared" si="11"/>
        <v>0</v>
      </c>
      <c r="I29" s="881">
        <f t="shared" si="11"/>
        <v>0</v>
      </c>
      <c r="J29" s="881">
        <f t="shared" si="11"/>
        <v>0</v>
      </c>
      <c r="K29" s="881">
        <f t="shared" si="11"/>
        <v>0</v>
      </c>
      <c r="L29" s="881">
        <f t="shared" si="11"/>
        <v>0</v>
      </c>
      <c r="M29" s="881">
        <f t="shared" si="11"/>
        <v>0</v>
      </c>
      <c r="N29" s="881">
        <f t="shared" si="11"/>
        <v>0</v>
      </c>
      <c r="O29" s="881">
        <f t="shared" si="11"/>
        <v>0</v>
      </c>
      <c r="P29" s="881">
        <f t="shared" si="11"/>
        <v>0</v>
      </c>
      <c r="Q29" s="881">
        <f t="shared" si="11"/>
        <v>0</v>
      </c>
      <c r="R29" s="881">
        <f t="shared" si="11"/>
        <v>0</v>
      </c>
      <c r="S29" s="881">
        <f t="shared" si="11"/>
        <v>0</v>
      </c>
      <c r="T29" s="881">
        <f t="shared" si="11"/>
        <v>0</v>
      </c>
      <c r="U29" s="881">
        <f t="shared" si="11"/>
        <v>0</v>
      </c>
      <c r="V29" s="881">
        <f t="shared" si="11"/>
        <v>0</v>
      </c>
      <c r="W29" s="881">
        <f t="shared" si="10"/>
        <v>0</v>
      </c>
    </row>
    <row r="30" spans="1:23" s="811" customFormat="1" ht="18.75" customHeight="1">
      <c r="A30" s="879" t="s">
        <v>323</v>
      </c>
      <c r="B30" s="879" t="s">
        <v>1203</v>
      </c>
      <c r="C30" s="880">
        <f aca="true" t="shared" si="12" ref="C30:V30">SUM(C31:C35)</f>
        <v>0</v>
      </c>
      <c r="D30" s="880">
        <f t="shared" si="12"/>
        <v>0</v>
      </c>
      <c r="E30" s="880">
        <f t="shared" si="12"/>
        <v>0</v>
      </c>
      <c r="F30" s="880">
        <f t="shared" si="12"/>
        <v>0</v>
      </c>
      <c r="G30" s="880">
        <f t="shared" si="12"/>
        <v>0</v>
      </c>
      <c r="H30" s="880">
        <f t="shared" si="12"/>
        <v>0</v>
      </c>
      <c r="I30" s="880">
        <f t="shared" si="12"/>
        <v>0</v>
      </c>
      <c r="J30" s="880">
        <f t="shared" si="12"/>
        <v>0</v>
      </c>
      <c r="K30" s="880">
        <f t="shared" si="12"/>
        <v>0</v>
      </c>
      <c r="L30" s="880">
        <f t="shared" si="12"/>
        <v>0</v>
      </c>
      <c r="M30" s="880">
        <f t="shared" si="12"/>
        <v>0</v>
      </c>
      <c r="N30" s="880">
        <f t="shared" si="12"/>
        <v>0</v>
      </c>
      <c r="O30" s="880">
        <f t="shared" si="12"/>
        <v>0</v>
      </c>
      <c r="P30" s="880">
        <f t="shared" si="12"/>
        <v>0</v>
      </c>
      <c r="Q30" s="880">
        <f t="shared" si="12"/>
        <v>0</v>
      </c>
      <c r="R30" s="880">
        <f t="shared" si="12"/>
        <v>0</v>
      </c>
      <c r="S30" s="880">
        <f t="shared" si="12"/>
        <v>0</v>
      </c>
      <c r="T30" s="880">
        <f t="shared" si="12"/>
        <v>0</v>
      </c>
      <c r="U30" s="880">
        <f t="shared" si="12"/>
        <v>0</v>
      </c>
      <c r="V30" s="880">
        <f t="shared" si="12"/>
        <v>0</v>
      </c>
      <c r="W30" s="881">
        <f t="shared" si="10"/>
        <v>0</v>
      </c>
    </row>
    <row r="31" spans="1:23" s="811" customFormat="1" ht="18.75" customHeight="1">
      <c r="A31" s="879" t="s">
        <v>324</v>
      </c>
      <c r="B31" s="879" t="s">
        <v>1204</v>
      </c>
      <c r="C31" s="880">
        <f aca="true" t="shared" si="13" ref="C31:V31">+C32+C33+C34</f>
        <v>0</v>
      </c>
      <c r="D31" s="880">
        <f t="shared" si="13"/>
        <v>0</v>
      </c>
      <c r="E31" s="880">
        <f t="shared" si="13"/>
        <v>0</v>
      </c>
      <c r="F31" s="880">
        <f t="shared" si="13"/>
        <v>0</v>
      </c>
      <c r="G31" s="880">
        <f t="shared" si="13"/>
        <v>0</v>
      </c>
      <c r="H31" s="880">
        <f t="shared" si="13"/>
        <v>0</v>
      </c>
      <c r="I31" s="880">
        <f t="shared" si="13"/>
        <v>0</v>
      </c>
      <c r="J31" s="880">
        <f t="shared" si="13"/>
        <v>0</v>
      </c>
      <c r="K31" s="880">
        <f t="shared" si="13"/>
        <v>0</v>
      </c>
      <c r="L31" s="880">
        <f t="shared" si="13"/>
        <v>0</v>
      </c>
      <c r="M31" s="880">
        <f t="shared" si="13"/>
        <v>0</v>
      </c>
      <c r="N31" s="880">
        <f t="shared" si="13"/>
        <v>0</v>
      </c>
      <c r="O31" s="880">
        <f t="shared" si="13"/>
        <v>0</v>
      </c>
      <c r="P31" s="880">
        <f t="shared" si="13"/>
        <v>0</v>
      </c>
      <c r="Q31" s="880">
        <f t="shared" si="13"/>
        <v>0</v>
      </c>
      <c r="R31" s="880">
        <f t="shared" si="13"/>
        <v>0</v>
      </c>
      <c r="S31" s="880">
        <f t="shared" si="13"/>
        <v>0</v>
      </c>
      <c r="T31" s="880">
        <f t="shared" si="13"/>
        <v>0</v>
      </c>
      <c r="U31" s="880">
        <f t="shared" si="13"/>
        <v>0</v>
      </c>
      <c r="V31" s="880">
        <f t="shared" si="13"/>
        <v>0</v>
      </c>
      <c r="W31" s="881">
        <f t="shared" si="10"/>
        <v>0</v>
      </c>
    </row>
    <row r="32" spans="1:23" s="811" customFormat="1" ht="19.5" customHeight="1">
      <c r="A32" s="879" t="s">
        <v>1205</v>
      </c>
      <c r="B32" s="879" t="s">
        <v>1186</v>
      </c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1"/>
    </row>
    <row r="33" spans="1:23" s="811" customFormat="1" ht="30">
      <c r="A33" s="879" t="s">
        <v>1206</v>
      </c>
      <c r="B33" s="879" t="s">
        <v>1188</v>
      </c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  <c r="P33" s="880"/>
      <c r="Q33" s="880"/>
      <c r="R33" s="880"/>
      <c r="S33" s="880"/>
      <c r="T33" s="880"/>
      <c r="U33" s="880"/>
      <c r="V33" s="880"/>
      <c r="W33" s="881"/>
    </row>
    <row r="34" spans="1:23" s="811" customFormat="1" ht="18" customHeight="1">
      <c r="A34" s="879" t="s">
        <v>1207</v>
      </c>
      <c r="B34" s="879" t="s">
        <v>1190</v>
      </c>
      <c r="C34" s="880"/>
      <c r="D34" s="880"/>
      <c r="E34" s="880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80"/>
      <c r="V34" s="880"/>
      <c r="W34" s="881"/>
    </row>
    <row r="35" spans="1:23" ht="18" customHeight="1">
      <c r="A35" s="884" t="s">
        <v>325</v>
      </c>
      <c r="B35" s="884" t="s">
        <v>1208</v>
      </c>
      <c r="C35" s="887">
        <f aca="true" t="shared" si="14" ref="C35:V35">+C36+C37+C38</f>
        <v>0</v>
      </c>
      <c r="D35" s="887">
        <f t="shared" si="14"/>
        <v>0</v>
      </c>
      <c r="E35" s="887">
        <f t="shared" si="14"/>
        <v>0</v>
      </c>
      <c r="F35" s="887">
        <f t="shared" si="14"/>
        <v>0</v>
      </c>
      <c r="G35" s="887">
        <f t="shared" si="14"/>
        <v>0</v>
      </c>
      <c r="H35" s="887">
        <f t="shared" si="14"/>
        <v>0</v>
      </c>
      <c r="I35" s="887">
        <f t="shared" si="14"/>
        <v>0</v>
      </c>
      <c r="J35" s="887">
        <f t="shared" si="14"/>
        <v>0</v>
      </c>
      <c r="K35" s="887">
        <f t="shared" si="14"/>
        <v>0</v>
      </c>
      <c r="L35" s="887">
        <f t="shared" si="14"/>
        <v>0</v>
      </c>
      <c r="M35" s="887">
        <f t="shared" si="14"/>
        <v>0</v>
      </c>
      <c r="N35" s="887">
        <f t="shared" si="14"/>
        <v>0</v>
      </c>
      <c r="O35" s="887">
        <f t="shared" si="14"/>
        <v>0</v>
      </c>
      <c r="P35" s="887">
        <f t="shared" si="14"/>
        <v>0</v>
      </c>
      <c r="Q35" s="887">
        <f t="shared" si="14"/>
        <v>0</v>
      </c>
      <c r="R35" s="887">
        <f t="shared" si="14"/>
        <v>0</v>
      </c>
      <c r="S35" s="887">
        <f t="shared" si="14"/>
        <v>0</v>
      </c>
      <c r="T35" s="887">
        <f t="shared" si="14"/>
        <v>0</v>
      </c>
      <c r="U35" s="887">
        <f t="shared" si="14"/>
        <v>0</v>
      </c>
      <c r="V35" s="887">
        <f t="shared" si="14"/>
        <v>0</v>
      </c>
      <c r="W35" s="885">
        <f>SUM(C35:V35)</f>
        <v>0</v>
      </c>
    </row>
    <row r="36" spans="1:23" ht="18" customHeight="1">
      <c r="A36" s="884" t="s">
        <v>1209</v>
      </c>
      <c r="B36" s="879" t="s">
        <v>1186</v>
      </c>
      <c r="C36" s="887"/>
      <c r="D36" s="887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5"/>
    </row>
    <row r="37" spans="1:23" ht="30">
      <c r="A37" s="884" t="s">
        <v>1210</v>
      </c>
      <c r="B37" s="879" t="s">
        <v>1188</v>
      </c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  <c r="T37" s="887"/>
      <c r="U37" s="887"/>
      <c r="V37" s="887"/>
      <c r="W37" s="885"/>
    </row>
    <row r="38" spans="1:23" s="811" customFormat="1" ht="17.25" customHeight="1">
      <c r="A38" s="879" t="s">
        <v>1211</v>
      </c>
      <c r="B38" s="879" t="s">
        <v>1190</v>
      </c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1"/>
    </row>
    <row r="39" spans="1:23" ht="17.25" customHeight="1">
      <c r="A39" s="884" t="s">
        <v>326</v>
      </c>
      <c r="B39" s="884" t="s">
        <v>1195</v>
      </c>
      <c r="C39" s="887"/>
      <c r="D39" s="887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7"/>
      <c r="Q39" s="887"/>
      <c r="R39" s="887"/>
      <c r="S39" s="887"/>
      <c r="T39" s="887"/>
      <c r="U39" s="887"/>
      <c r="V39" s="887"/>
      <c r="W39" s="885">
        <f aca="true" t="shared" si="15" ref="W39:W47">SUM(C39:V39)</f>
        <v>0</v>
      </c>
    </row>
    <row r="40" spans="1:23" ht="17.25" customHeight="1">
      <c r="A40" s="884" t="s">
        <v>327</v>
      </c>
      <c r="B40" s="884" t="s">
        <v>1196</v>
      </c>
      <c r="C40" s="887"/>
      <c r="D40" s="887"/>
      <c r="E40" s="887"/>
      <c r="F40" s="887"/>
      <c r="G40" s="887"/>
      <c r="H40" s="887"/>
      <c r="I40" s="887"/>
      <c r="J40" s="887"/>
      <c r="K40" s="887"/>
      <c r="L40" s="887"/>
      <c r="M40" s="887"/>
      <c r="N40" s="887"/>
      <c r="O40" s="887"/>
      <c r="P40" s="887"/>
      <c r="Q40" s="887"/>
      <c r="R40" s="887"/>
      <c r="S40" s="887"/>
      <c r="T40" s="887"/>
      <c r="U40" s="887"/>
      <c r="V40" s="887"/>
      <c r="W40" s="885">
        <f t="shared" si="15"/>
        <v>0</v>
      </c>
    </row>
    <row r="41" spans="1:23" ht="20.25" customHeight="1">
      <c r="A41" s="884" t="s">
        <v>328</v>
      </c>
      <c r="B41" s="884" t="s">
        <v>1197</v>
      </c>
      <c r="C41" s="887"/>
      <c r="D41" s="887"/>
      <c r="E41" s="887"/>
      <c r="F41" s="887"/>
      <c r="G41" s="887"/>
      <c r="H41" s="887"/>
      <c r="I41" s="887"/>
      <c r="J41" s="887"/>
      <c r="K41" s="887"/>
      <c r="L41" s="887"/>
      <c r="M41" s="887"/>
      <c r="N41" s="887"/>
      <c r="O41" s="887"/>
      <c r="P41" s="887"/>
      <c r="Q41" s="887"/>
      <c r="R41" s="887"/>
      <c r="S41" s="887"/>
      <c r="T41" s="887"/>
      <c r="U41" s="887"/>
      <c r="V41" s="887"/>
      <c r="W41" s="885">
        <f t="shared" si="15"/>
        <v>0</v>
      </c>
    </row>
    <row r="42" spans="1:23" ht="20.25" customHeight="1">
      <c r="A42" s="884" t="s">
        <v>329</v>
      </c>
      <c r="B42" s="884" t="s">
        <v>1198</v>
      </c>
      <c r="C42" s="887"/>
      <c r="D42" s="887"/>
      <c r="E42" s="887"/>
      <c r="F42" s="887"/>
      <c r="G42" s="887"/>
      <c r="H42" s="887"/>
      <c r="I42" s="887"/>
      <c r="J42" s="887"/>
      <c r="K42" s="887"/>
      <c r="L42" s="887"/>
      <c r="M42" s="887"/>
      <c r="N42" s="887"/>
      <c r="O42" s="887"/>
      <c r="P42" s="887"/>
      <c r="Q42" s="887"/>
      <c r="R42" s="887"/>
      <c r="S42" s="887"/>
      <c r="T42" s="887"/>
      <c r="U42" s="887"/>
      <c r="V42" s="887"/>
      <c r="W42" s="885">
        <f t="shared" si="15"/>
        <v>0</v>
      </c>
    </row>
    <row r="43" spans="1:23" ht="20.25" customHeight="1">
      <c r="A43" s="884" t="s">
        <v>330</v>
      </c>
      <c r="B43" s="884" t="s">
        <v>1199</v>
      </c>
      <c r="C43" s="887"/>
      <c r="D43" s="887"/>
      <c r="E43" s="887"/>
      <c r="F43" s="887"/>
      <c r="G43" s="887"/>
      <c r="H43" s="887"/>
      <c r="I43" s="887"/>
      <c r="J43" s="887"/>
      <c r="K43" s="887"/>
      <c r="L43" s="887"/>
      <c r="M43" s="887"/>
      <c r="N43" s="887"/>
      <c r="O43" s="887"/>
      <c r="P43" s="887"/>
      <c r="Q43" s="887"/>
      <c r="R43" s="887"/>
      <c r="S43" s="887"/>
      <c r="T43" s="887"/>
      <c r="U43" s="887"/>
      <c r="V43" s="887"/>
      <c r="W43" s="885">
        <f t="shared" si="15"/>
        <v>0</v>
      </c>
    </row>
    <row r="44" spans="1:23" ht="20.25" customHeight="1">
      <c r="A44" s="884" t="s">
        <v>331</v>
      </c>
      <c r="B44" s="884" t="s">
        <v>1200</v>
      </c>
      <c r="C44" s="887"/>
      <c r="D44" s="887"/>
      <c r="E44" s="887"/>
      <c r="F44" s="887"/>
      <c r="G44" s="887"/>
      <c r="H44" s="887"/>
      <c r="I44" s="887"/>
      <c r="J44" s="887"/>
      <c r="K44" s="887"/>
      <c r="L44" s="887"/>
      <c r="M44" s="887"/>
      <c r="N44" s="887"/>
      <c r="O44" s="887"/>
      <c r="P44" s="887"/>
      <c r="Q44" s="887"/>
      <c r="R44" s="887"/>
      <c r="S44" s="887"/>
      <c r="T44" s="887"/>
      <c r="U44" s="887"/>
      <c r="V44" s="887"/>
      <c r="W44" s="885">
        <f t="shared" si="15"/>
        <v>0</v>
      </c>
    </row>
    <row r="45" spans="1:23" ht="20.25" customHeight="1">
      <c r="A45" s="884" t="s">
        <v>332</v>
      </c>
      <c r="B45" s="884" t="s">
        <v>1201</v>
      </c>
      <c r="C45" s="887"/>
      <c r="D45" s="887"/>
      <c r="E45" s="887"/>
      <c r="F45" s="887"/>
      <c r="G45" s="887"/>
      <c r="H45" s="887"/>
      <c r="I45" s="887"/>
      <c r="J45" s="887"/>
      <c r="K45" s="887"/>
      <c r="L45" s="887"/>
      <c r="M45" s="887"/>
      <c r="N45" s="887"/>
      <c r="O45" s="887"/>
      <c r="P45" s="887"/>
      <c r="Q45" s="887"/>
      <c r="R45" s="887"/>
      <c r="S45" s="887"/>
      <c r="T45" s="887"/>
      <c r="U45" s="887"/>
      <c r="V45" s="887"/>
      <c r="W45" s="885">
        <f t="shared" si="15"/>
        <v>0</v>
      </c>
    </row>
    <row r="46" spans="1:23" ht="20.25" customHeight="1">
      <c r="A46" s="884" t="s">
        <v>333</v>
      </c>
      <c r="B46" s="878" t="s">
        <v>1212</v>
      </c>
      <c r="C46" s="885">
        <f aca="true" t="shared" si="16" ref="C46:V46">SUM(C12+C29)</f>
        <v>59013082</v>
      </c>
      <c r="D46" s="885">
        <f t="shared" si="16"/>
        <v>54074052</v>
      </c>
      <c r="E46" s="885">
        <f t="shared" si="16"/>
        <v>52664921</v>
      </c>
      <c r="F46" s="885">
        <f t="shared" si="16"/>
        <v>51255790</v>
      </c>
      <c r="G46" s="885">
        <f t="shared" si="16"/>
        <v>49846659</v>
      </c>
      <c r="H46" s="885">
        <f t="shared" si="16"/>
        <v>48437528</v>
      </c>
      <c r="I46" s="885">
        <f t="shared" si="16"/>
        <v>47028396</v>
      </c>
      <c r="J46" s="885">
        <f t="shared" si="16"/>
        <v>45619265</v>
      </c>
      <c r="K46" s="885">
        <f t="shared" si="16"/>
        <v>44210133</v>
      </c>
      <c r="L46" s="885">
        <f t="shared" si="16"/>
        <v>42801002</v>
      </c>
      <c r="M46" s="885">
        <f t="shared" si="16"/>
        <v>41391871</v>
      </c>
      <c r="N46" s="885">
        <f t="shared" si="16"/>
        <v>39982739</v>
      </c>
      <c r="O46" s="885">
        <f t="shared" si="16"/>
        <v>38573608</v>
      </c>
      <c r="P46" s="885">
        <f t="shared" si="16"/>
        <v>37164478</v>
      </c>
      <c r="Q46" s="885">
        <f t="shared" si="16"/>
        <v>35755347</v>
      </c>
      <c r="R46" s="885">
        <f t="shared" si="16"/>
        <v>34346215</v>
      </c>
      <c r="S46" s="885">
        <f t="shared" si="16"/>
        <v>32937084</v>
      </c>
      <c r="T46" s="885">
        <f t="shared" si="16"/>
        <v>31527952</v>
      </c>
      <c r="U46" s="885">
        <f t="shared" si="16"/>
        <v>30118820</v>
      </c>
      <c r="V46" s="885">
        <f t="shared" si="16"/>
        <v>21680819</v>
      </c>
      <c r="W46" s="885">
        <f t="shared" si="15"/>
        <v>838429761</v>
      </c>
    </row>
    <row r="47" spans="1:23" ht="21" customHeight="1">
      <c r="A47" s="884" t="s">
        <v>334</v>
      </c>
      <c r="B47" s="878" t="s">
        <v>1213</v>
      </c>
      <c r="C47" s="885">
        <f aca="true" t="shared" si="17" ref="C47:V47">C11-C46</f>
        <v>1911322254</v>
      </c>
      <c r="D47" s="885">
        <f t="shared" si="17"/>
        <v>1867814536.7144997</v>
      </c>
      <c r="E47" s="885">
        <f t="shared" si="17"/>
        <v>1871449701.251214</v>
      </c>
      <c r="F47" s="885">
        <f t="shared" si="17"/>
        <v>1875088628.046205</v>
      </c>
      <c r="G47" s="885">
        <f t="shared" si="17"/>
        <v>1878731328.5428548</v>
      </c>
      <c r="H47" s="885">
        <f t="shared" si="17"/>
        <v>1882377814.234394</v>
      </c>
      <c r="I47" s="885">
        <f t="shared" si="17"/>
        <v>1886028097.664145</v>
      </c>
      <c r="J47" s="885">
        <f t="shared" si="17"/>
        <v>1889682188.4257631</v>
      </c>
      <c r="K47" s="885">
        <f t="shared" si="17"/>
        <v>1893340100.1634827</v>
      </c>
      <c r="L47" s="885">
        <f t="shared" si="17"/>
        <v>1897001842.5723617</v>
      </c>
      <c r="M47" s="885">
        <f t="shared" si="17"/>
        <v>1900667428.3985279</v>
      </c>
      <c r="N47" s="885">
        <f t="shared" si="17"/>
        <v>1904336870.439428</v>
      </c>
      <c r="O47" s="885">
        <f t="shared" si="17"/>
        <v>1908010178.544077</v>
      </c>
      <c r="P47" s="885">
        <f t="shared" si="17"/>
        <v>1911687364.6133063</v>
      </c>
      <c r="Q47" s="885">
        <f t="shared" si="17"/>
        <v>1915368442.6000185</v>
      </c>
      <c r="R47" s="885">
        <f t="shared" si="17"/>
        <v>1919053424.509438</v>
      </c>
      <c r="S47" s="885">
        <f t="shared" si="17"/>
        <v>1922742320.399366</v>
      </c>
      <c r="T47" s="885">
        <f t="shared" si="17"/>
        <v>1333454082.8885252</v>
      </c>
      <c r="U47" s="885">
        <f t="shared" si="17"/>
        <v>1335279175.062968</v>
      </c>
      <c r="V47" s="885">
        <f t="shared" si="17"/>
        <v>1344135216.0382829</v>
      </c>
      <c r="W47" s="885">
        <f t="shared" si="15"/>
        <v>36247570995.10886</v>
      </c>
    </row>
    <row r="48" spans="1:24" ht="15">
      <c r="A48" s="888"/>
      <c r="B48" s="888" t="s">
        <v>1214</v>
      </c>
      <c r="C48" s="889"/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  <c r="O48" s="889"/>
      <c r="P48" s="889"/>
      <c r="Q48" s="889"/>
      <c r="R48" s="889"/>
      <c r="S48" s="889"/>
      <c r="T48" s="889"/>
      <c r="U48" s="889"/>
      <c r="V48" s="889"/>
      <c r="W48" s="889"/>
      <c r="X48" s="890"/>
    </row>
    <row r="49" spans="1:24" ht="30">
      <c r="A49" s="1455"/>
      <c r="B49" s="888" t="s">
        <v>1056</v>
      </c>
      <c r="C49" s="891" t="s">
        <v>1215</v>
      </c>
      <c r="D49" s="891">
        <f>+'1. sz. Önkormányzat 2019. '!AT33</f>
        <v>10432495</v>
      </c>
      <c r="E49" s="892"/>
      <c r="F49" s="888"/>
      <c r="G49" s="889"/>
      <c r="H49" s="889"/>
      <c r="I49" s="893" t="s">
        <v>1216</v>
      </c>
      <c r="J49" s="894">
        <v>1050000</v>
      </c>
      <c r="K49" s="889"/>
      <c r="L49" s="889"/>
      <c r="M49" s="889"/>
      <c r="N49" s="889"/>
      <c r="O49" s="889"/>
      <c r="P49" s="889"/>
      <c r="Q49" s="889"/>
      <c r="R49" s="889"/>
      <c r="S49" s="889"/>
      <c r="T49" s="889"/>
      <c r="U49" s="889"/>
      <c r="V49" s="889"/>
      <c r="W49" s="889"/>
      <c r="X49" s="890"/>
    </row>
    <row r="50" spans="1:26" ht="42.75" customHeight="1">
      <c r="A50" s="1456"/>
      <c r="B50" s="888" t="s">
        <v>1217</v>
      </c>
      <c r="C50" s="895" t="s">
        <v>1218</v>
      </c>
      <c r="D50" s="895">
        <f>+'1. sz. Önkormányzat 2019. '!AU33</f>
        <v>979980</v>
      </c>
      <c r="E50" s="896"/>
      <c r="F50" s="889"/>
      <c r="G50" s="889"/>
      <c r="H50" s="889"/>
      <c r="I50" s="897" t="s">
        <v>1219</v>
      </c>
      <c r="J50" s="896">
        <v>4500000</v>
      </c>
      <c r="K50" s="888"/>
      <c r="L50" s="889"/>
      <c r="M50" s="889"/>
      <c r="N50" s="889"/>
      <c r="O50" s="889"/>
      <c r="P50" s="889"/>
      <c r="Q50" s="889"/>
      <c r="R50" s="889"/>
      <c r="S50" s="889"/>
      <c r="T50" s="889"/>
      <c r="U50" s="889"/>
      <c r="V50" s="889"/>
      <c r="W50" s="889"/>
      <c r="X50" s="890"/>
      <c r="Y50" s="889"/>
      <c r="Z50" s="889"/>
    </row>
    <row r="51" spans="1:26" ht="15">
      <c r="A51" s="1456"/>
      <c r="B51" s="888" t="s">
        <v>1220</v>
      </c>
      <c r="C51" s="895" t="s">
        <v>1221</v>
      </c>
      <c r="D51" s="895">
        <f>+'2.8. sz. Műv.Ház'!E33+'2.8. sz. Műv.Ház'!F33</f>
        <v>7900000</v>
      </c>
      <c r="E51" s="896"/>
      <c r="F51" s="889"/>
      <c r="G51" s="889"/>
      <c r="H51" s="889"/>
      <c r="I51" s="897" t="s">
        <v>1222</v>
      </c>
      <c r="J51" s="896">
        <f>SUM(J49:J50)</f>
        <v>5550000</v>
      </c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89"/>
      <c r="X51" s="890"/>
      <c r="Y51" s="889"/>
      <c r="Z51" s="889"/>
    </row>
    <row r="52" spans="1:26" ht="15">
      <c r="A52" s="1456"/>
      <c r="B52" s="888" t="s">
        <v>1223</v>
      </c>
      <c r="C52" s="895" t="s">
        <v>1224</v>
      </c>
      <c r="D52" s="895">
        <f>+'1. sz. Önkormányzat 2019. '!AV33</f>
        <v>3810000</v>
      </c>
      <c r="E52" s="896"/>
      <c r="F52" s="889"/>
      <c r="G52" s="889"/>
      <c r="H52" s="889"/>
      <c r="I52" s="897"/>
      <c r="J52" s="896"/>
      <c r="K52" s="889"/>
      <c r="L52" s="889"/>
      <c r="M52" s="889"/>
      <c r="N52" s="889"/>
      <c r="O52" s="889"/>
      <c r="P52" s="889"/>
      <c r="Q52" s="889"/>
      <c r="R52" s="889"/>
      <c r="S52" s="889"/>
      <c r="T52" s="889"/>
      <c r="U52" s="889"/>
      <c r="V52" s="889"/>
      <c r="W52" s="889"/>
      <c r="X52" s="890"/>
      <c r="Y52" s="889"/>
      <c r="Z52" s="889"/>
    </row>
    <row r="53" spans="1:24" ht="45">
      <c r="A53" s="1456"/>
      <c r="B53" s="888" t="s">
        <v>1059</v>
      </c>
      <c r="C53" s="895" t="s">
        <v>1225</v>
      </c>
      <c r="D53" s="895">
        <f>+'1. sz. Önkormányzat 2019. '!BI33+'1. sz. Önkormányzat 2019. '!BK33</f>
        <v>129999999</v>
      </c>
      <c r="E53" s="896" t="s">
        <v>1226</v>
      </c>
      <c r="F53" s="889" t="s">
        <v>1227</v>
      </c>
      <c r="G53" s="889">
        <v>112472000</v>
      </c>
      <c r="H53" s="889"/>
      <c r="I53" s="897"/>
      <c r="J53" s="896"/>
      <c r="K53" s="889"/>
      <c r="L53" s="889"/>
      <c r="M53" s="889"/>
      <c r="N53" s="889"/>
      <c r="O53" s="889"/>
      <c r="P53" s="889"/>
      <c r="Q53" s="889"/>
      <c r="R53" s="889"/>
      <c r="S53" s="889"/>
      <c r="T53" s="889"/>
      <c r="U53" s="889"/>
      <c r="V53" s="889"/>
      <c r="W53" s="889"/>
      <c r="X53" s="890"/>
    </row>
    <row r="54" spans="1:24" ht="30">
      <c r="A54" s="1456"/>
      <c r="B54" s="888" t="s">
        <v>1228</v>
      </c>
      <c r="C54" s="895" t="s">
        <v>1416</v>
      </c>
      <c r="D54" s="895">
        <f>+'2.3. sz. Mese Óvoda'!E33</f>
        <v>500000</v>
      </c>
      <c r="E54" s="896"/>
      <c r="F54" s="889"/>
      <c r="G54" s="889"/>
      <c r="H54" s="889"/>
      <c r="I54" s="897" t="s">
        <v>1229</v>
      </c>
      <c r="J54" s="896">
        <v>24543000</v>
      </c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90"/>
    </row>
    <row r="55" spans="1:24" ht="30">
      <c r="A55" s="1456"/>
      <c r="B55" s="875" t="s">
        <v>151</v>
      </c>
      <c r="C55" s="895" t="s">
        <v>1417</v>
      </c>
      <c r="D55" s="895">
        <f>+'2.2. sz. Hétszínvirág Óvoda'!E33</f>
        <v>500000</v>
      </c>
      <c r="E55" s="896"/>
      <c r="F55" s="889"/>
      <c r="G55" s="889"/>
      <c r="H55" s="889"/>
      <c r="I55" s="897" t="s">
        <v>1230</v>
      </c>
      <c r="J55" s="896">
        <v>2041000</v>
      </c>
      <c r="K55" s="889"/>
      <c r="L55" s="889"/>
      <c r="M55" s="889"/>
      <c r="N55" s="889"/>
      <c r="O55" s="889"/>
      <c r="P55" s="889"/>
      <c r="Q55" s="889"/>
      <c r="R55" s="889"/>
      <c r="S55" s="889"/>
      <c r="T55" s="889"/>
      <c r="U55" s="889"/>
      <c r="V55" s="889"/>
      <c r="W55" s="889"/>
      <c r="X55" s="890"/>
    </row>
    <row r="56" spans="1:24" ht="15">
      <c r="A56" s="898"/>
      <c r="B56" s="888" t="s">
        <v>1231</v>
      </c>
      <c r="C56" s="895" t="s">
        <v>1232</v>
      </c>
      <c r="D56" s="895"/>
      <c r="E56" s="896"/>
      <c r="F56" s="889"/>
      <c r="G56" s="889"/>
      <c r="H56" s="889"/>
      <c r="I56" s="897" t="s">
        <v>1233</v>
      </c>
      <c r="J56" s="896">
        <f>SUM(J54:J55)</f>
        <v>26584000</v>
      </c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90"/>
    </row>
    <row r="57" spans="1:24" ht="15">
      <c r="A57" s="898"/>
      <c r="B57" s="888" t="s">
        <v>1234</v>
      </c>
      <c r="C57" s="895" t="s">
        <v>1235</v>
      </c>
      <c r="D57" s="895"/>
      <c r="E57" s="896"/>
      <c r="F57" s="889"/>
      <c r="G57" s="889"/>
      <c r="H57" s="889"/>
      <c r="I57" s="897"/>
      <c r="J57" s="896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889"/>
      <c r="X57" s="890"/>
    </row>
    <row r="58" spans="1:24" ht="15">
      <c r="A58" s="898"/>
      <c r="B58" s="888" t="s">
        <v>1236</v>
      </c>
      <c r="C58" s="895"/>
      <c r="D58" s="895"/>
      <c r="E58" s="896"/>
      <c r="F58" s="889"/>
      <c r="G58" s="889"/>
      <c r="H58" s="889"/>
      <c r="I58" s="897"/>
      <c r="J58" s="896"/>
      <c r="K58" s="889"/>
      <c r="L58" s="889"/>
      <c r="M58" s="889"/>
      <c r="N58" s="889"/>
      <c r="O58" s="889"/>
      <c r="P58" s="889"/>
      <c r="Q58" s="889"/>
      <c r="R58" s="889"/>
      <c r="S58" s="889"/>
      <c r="T58" s="889"/>
      <c r="U58" s="889"/>
      <c r="V58" s="889"/>
      <c r="W58" s="889"/>
      <c r="X58" s="890"/>
    </row>
    <row r="59" spans="1:24" ht="15">
      <c r="A59" s="898"/>
      <c r="B59" s="888" t="s">
        <v>1237</v>
      </c>
      <c r="C59" s="895" t="s">
        <v>151</v>
      </c>
      <c r="D59" s="895">
        <f>SUM(D49:D57)</f>
        <v>154122474</v>
      </c>
      <c r="E59" s="896"/>
      <c r="F59" s="889"/>
      <c r="G59" s="889"/>
      <c r="H59" s="889"/>
      <c r="I59" s="899" t="s">
        <v>1238</v>
      </c>
      <c r="J59" s="900">
        <f>+J51+J56</f>
        <v>32134000</v>
      </c>
      <c r="K59" s="889"/>
      <c r="L59" s="889"/>
      <c r="M59" s="889"/>
      <c r="N59" s="889"/>
      <c r="O59" s="889"/>
      <c r="P59" s="889"/>
      <c r="Q59" s="889"/>
      <c r="R59" s="889"/>
      <c r="S59" s="889"/>
      <c r="T59" s="889"/>
      <c r="U59" s="889"/>
      <c r="V59" s="889"/>
      <c r="W59" s="889"/>
      <c r="X59" s="890"/>
    </row>
    <row r="60" spans="1:24" ht="15">
      <c r="A60" s="898"/>
      <c r="B60" s="888" t="s">
        <v>1239</v>
      </c>
      <c r="C60" s="895"/>
      <c r="D60" s="895"/>
      <c r="E60" s="896"/>
      <c r="F60" s="889"/>
      <c r="G60" s="889"/>
      <c r="H60" s="889"/>
      <c r="I60" s="895"/>
      <c r="J60" s="895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889"/>
      <c r="X60" s="890"/>
    </row>
    <row r="61" spans="1:24" ht="15">
      <c r="A61" s="898"/>
      <c r="B61" s="888"/>
      <c r="C61" s="895"/>
      <c r="D61" s="895"/>
      <c r="E61" s="896"/>
      <c r="F61" s="889"/>
      <c r="G61" s="889"/>
      <c r="H61" s="889"/>
      <c r="I61" s="895"/>
      <c r="J61" s="895"/>
      <c r="K61" s="889"/>
      <c r="L61" s="889"/>
      <c r="M61" s="889"/>
      <c r="N61" s="889"/>
      <c r="O61" s="889"/>
      <c r="P61" s="889"/>
      <c r="Q61" s="889"/>
      <c r="R61" s="889"/>
      <c r="S61" s="889"/>
      <c r="T61" s="889"/>
      <c r="U61" s="889"/>
      <c r="V61" s="889"/>
      <c r="W61" s="889"/>
      <c r="X61" s="890"/>
    </row>
    <row r="62" spans="1:24" ht="15">
      <c r="A62" s="901"/>
      <c r="B62" s="875" t="s">
        <v>151</v>
      </c>
      <c r="C62" s="895"/>
      <c r="D62" s="895"/>
      <c r="E62" s="896"/>
      <c r="F62" s="889"/>
      <c r="G62" s="889"/>
      <c r="H62" s="889"/>
      <c r="I62" s="889"/>
      <c r="J62" s="889"/>
      <c r="K62" s="889"/>
      <c r="L62" s="889"/>
      <c r="M62" s="889"/>
      <c r="N62" s="889"/>
      <c r="O62" s="889"/>
      <c r="P62" s="889"/>
      <c r="Q62" s="889"/>
      <c r="R62" s="889"/>
      <c r="S62" s="889"/>
      <c r="T62" s="889"/>
      <c r="U62" s="889"/>
      <c r="V62" s="889"/>
      <c r="W62" s="889"/>
      <c r="X62" s="890"/>
    </row>
    <row r="63" spans="1:24" ht="30">
      <c r="A63" s="898"/>
      <c r="B63" s="888" t="s">
        <v>1240</v>
      </c>
      <c r="C63" s="895" t="s">
        <v>1228</v>
      </c>
      <c r="D63" s="895">
        <v>107409000</v>
      </c>
      <c r="E63" s="896" t="s">
        <v>1241</v>
      </c>
      <c r="F63" s="889"/>
      <c r="G63" s="889"/>
      <c r="H63" s="889"/>
      <c r="I63" s="889"/>
      <c r="J63" s="889"/>
      <c r="K63" s="889"/>
      <c r="L63" s="889"/>
      <c r="M63" s="889"/>
      <c r="N63" s="889"/>
      <c r="O63" s="889"/>
      <c r="P63" s="889"/>
      <c r="Q63" s="889"/>
      <c r="R63" s="889"/>
      <c r="S63" s="889"/>
      <c r="T63" s="889"/>
      <c r="U63" s="889"/>
      <c r="V63" s="889"/>
      <c r="W63" s="889"/>
      <c r="X63" s="890"/>
    </row>
    <row r="64" spans="1:24" ht="15">
      <c r="A64" s="898"/>
      <c r="B64" s="888" t="s">
        <v>1242</v>
      </c>
      <c r="C64" s="895"/>
      <c r="D64" s="895"/>
      <c r="E64" s="896"/>
      <c r="F64" s="889"/>
      <c r="G64" s="889"/>
      <c r="H64" s="889"/>
      <c r="I64" s="889"/>
      <c r="J64" s="889"/>
      <c r="K64" s="889"/>
      <c r="L64" s="889"/>
      <c r="M64" s="889"/>
      <c r="N64" s="889"/>
      <c r="O64" s="889"/>
      <c r="P64" s="889"/>
      <c r="Q64" s="889"/>
      <c r="R64" s="889"/>
      <c r="S64" s="889"/>
      <c r="T64" s="889"/>
      <c r="U64" s="889"/>
      <c r="V64" s="889"/>
      <c r="W64" s="889"/>
      <c r="X64" s="890"/>
    </row>
    <row r="65" spans="1:24" ht="15">
      <c r="A65" s="898"/>
      <c r="B65" s="888" t="s">
        <v>1243</v>
      </c>
      <c r="C65" s="895"/>
      <c r="D65" s="895"/>
      <c r="E65" s="896"/>
      <c r="F65" s="889"/>
      <c r="G65" s="889"/>
      <c r="H65" s="889"/>
      <c r="I65" s="889"/>
      <c r="J65" s="889"/>
      <c r="K65" s="889"/>
      <c r="L65" s="889"/>
      <c r="M65" s="889"/>
      <c r="N65" s="889"/>
      <c r="O65" s="889"/>
      <c r="P65" s="889"/>
      <c r="Q65" s="889"/>
      <c r="R65" s="889"/>
      <c r="S65" s="889"/>
      <c r="T65" s="889"/>
      <c r="U65" s="889"/>
      <c r="V65" s="889"/>
      <c r="W65" s="889"/>
      <c r="X65" s="890"/>
    </row>
    <row r="66" spans="1:24" ht="15">
      <c r="A66" s="898"/>
      <c r="B66" s="888" t="s">
        <v>1244</v>
      </c>
      <c r="C66" s="895"/>
      <c r="D66" s="895"/>
      <c r="E66" s="896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  <c r="S66" s="889"/>
      <c r="T66" s="889"/>
      <c r="U66" s="889"/>
      <c r="V66" s="889"/>
      <c r="W66" s="889"/>
      <c r="X66" s="890"/>
    </row>
    <row r="67" spans="1:24" ht="15">
      <c r="A67" s="898"/>
      <c r="B67" s="888" t="s">
        <v>1245</v>
      </c>
      <c r="C67" s="895"/>
      <c r="D67" s="895"/>
      <c r="E67" s="896"/>
      <c r="F67" s="889"/>
      <c r="G67" s="889"/>
      <c r="H67" s="889"/>
      <c r="I67" s="889"/>
      <c r="J67" s="889"/>
      <c r="K67" s="889"/>
      <c r="L67" s="889"/>
      <c r="M67" s="889"/>
      <c r="N67" s="889"/>
      <c r="O67" s="889"/>
      <c r="P67" s="889"/>
      <c r="Q67" s="889"/>
      <c r="R67" s="889"/>
      <c r="S67" s="889"/>
      <c r="T67" s="889"/>
      <c r="U67" s="889"/>
      <c r="V67" s="889"/>
      <c r="W67" s="889"/>
      <c r="X67" s="890"/>
    </row>
    <row r="68" spans="1:24" ht="15">
      <c r="A68" s="898"/>
      <c r="B68" s="888" t="s">
        <v>1246</v>
      </c>
      <c r="C68" s="895"/>
      <c r="D68" s="895"/>
      <c r="E68" s="896"/>
      <c r="F68" s="889"/>
      <c r="G68" s="889"/>
      <c r="H68" s="889"/>
      <c r="I68" s="889"/>
      <c r="J68" s="889"/>
      <c r="K68" s="889"/>
      <c r="L68" s="889"/>
      <c r="M68" s="889"/>
      <c r="N68" s="889"/>
      <c r="O68" s="889"/>
      <c r="P68" s="889"/>
      <c r="Q68" s="889"/>
      <c r="R68" s="889"/>
      <c r="S68" s="889"/>
      <c r="T68" s="889"/>
      <c r="U68" s="889"/>
      <c r="V68" s="889"/>
      <c r="W68" s="889"/>
      <c r="X68" s="890"/>
    </row>
    <row r="69" spans="1:24" ht="15">
      <c r="A69" s="898"/>
      <c r="B69" s="888" t="s">
        <v>1224</v>
      </c>
      <c r="C69" s="895"/>
      <c r="D69" s="895"/>
      <c r="E69" s="896"/>
      <c r="F69" s="889"/>
      <c r="G69" s="889"/>
      <c r="H69" s="889"/>
      <c r="I69" s="889"/>
      <c r="J69" s="889"/>
      <c r="K69" s="889"/>
      <c r="L69" s="889"/>
      <c r="M69" s="889"/>
      <c r="N69" s="889"/>
      <c r="O69" s="889"/>
      <c r="P69" s="889"/>
      <c r="Q69" s="889"/>
      <c r="R69" s="889"/>
      <c r="S69" s="889"/>
      <c r="T69" s="889"/>
      <c r="U69" s="889"/>
      <c r="V69" s="889"/>
      <c r="W69" s="889"/>
      <c r="X69" s="890"/>
    </row>
    <row r="70" spans="1:24" ht="15">
      <c r="A70" s="898"/>
      <c r="B70" s="888" t="s">
        <v>1247</v>
      </c>
      <c r="C70" s="895"/>
      <c r="D70" s="895"/>
      <c r="E70" s="896"/>
      <c r="F70" s="889"/>
      <c r="G70" s="889"/>
      <c r="H70" s="889"/>
      <c r="I70" s="889"/>
      <c r="J70" s="889"/>
      <c r="K70" s="889"/>
      <c r="L70" s="889"/>
      <c r="M70" s="889"/>
      <c r="N70" s="889"/>
      <c r="O70" s="889"/>
      <c r="P70" s="889"/>
      <c r="Q70" s="889"/>
      <c r="R70" s="889"/>
      <c r="S70" s="889"/>
      <c r="T70" s="889"/>
      <c r="U70" s="889"/>
      <c r="V70" s="889"/>
      <c r="W70" s="889"/>
      <c r="X70" s="890"/>
    </row>
    <row r="71" spans="1:24" ht="15">
      <c r="A71" s="898"/>
      <c r="B71" s="888" t="s">
        <v>1248</v>
      </c>
      <c r="C71" s="895"/>
      <c r="D71" s="895"/>
      <c r="E71" s="896"/>
      <c r="F71" s="889"/>
      <c r="G71" s="889"/>
      <c r="H71" s="889"/>
      <c r="I71" s="889"/>
      <c r="J71" s="889"/>
      <c r="K71" s="889"/>
      <c r="L71" s="889"/>
      <c r="M71" s="889"/>
      <c r="N71" s="889"/>
      <c r="O71" s="889"/>
      <c r="P71" s="889"/>
      <c r="Q71" s="889"/>
      <c r="R71" s="889"/>
      <c r="S71" s="889"/>
      <c r="T71" s="889"/>
      <c r="U71" s="889"/>
      <c r="V71" s="889"/>
      <c r="W71" s="889"/>
      <c r="X71" s="890"/>
    </row>
    <row r="72" spans="1:24" ht="15">
      <c r="A72" s="898"/>
      <c r="B72" s="888" t="s">
        <v>1249</v>
      </c>
      <c r="C72" s="895"/>
      <c r="D72" s="895"/>
      <c r="E72" s="896"/>
      <c r="F72" s="889"/>
      <c r="G72" s="889"/>
      <c r="H72" s="889"/>
      <c r="I72" s="889"/>
      <c r="J72" s="889"/>
      <c r="K72" s="889"/>
      <c r="L72" s="889"/>
      <c r="M72" s="889"/>
      <c r="N72" s="889"/>
      <c r="O72" s="889"/>
      <c r="P72" s="889"/>
      <c r="Q72" s="889"/>
      <c r="R72" s="889"/>
      <c r="S72" s="889"/>
      <c r="T72" s="889"/>
      <c r="U72" s="889"/>
      <c r="V72" s="889"/>
      <c r="W72" s="889"/>
      <c r="X72" s="890"/>
    </row>
    <row r="73" spans="1:24" ht="15">
      <c r="A73" s="898"/>
      <c r="B73" s="888" t="s">
        <v>1250</v>
      </c>
      <c r="C73" s="902" t="s">
        <v>151</v>
      </c>
      <c r="D73" s="902">
        <f>+D59+D63</f>
        <v>261531474</v>
      </c>
      <c r="E73" s="900"/>
      <c r="F73" s="889"/>
      <c r="G73" s="889"/>
      <c r="H73" s="889"/>
      <c r="I73" s="889"/>
      <c r="J73" s="889"/>
      <c r="K73" s="889"/>
      <c r="L73" s="889"/>
      <c r="M73" s="889"/>
      <c r="N73" s="889"/>
      <c r="O73" s="889"/>
      <c r="P73" s="889"/>
      <c r="Q73" s="889"/>
      <c r="R73" s="889"/>
      <c r="S73" s="889"/>
      <c r="T73" s="889"/>
      <c r="U73" s="889"/>
      <c r="V73" s="889"/>
      <c r="W73" s="889"/>
      <c r="X73" s="890"/>
    </row>
    <row r="74" spans="1:24" ht="15">
      <c r="A74" s="898"/>
      <c r="B74" s="888" t="s">
        <v>1251</v>
      </c>
      <c r="C74" s="895"/>
      <c r="D74" s="895"/>
      <c r="E74" s="895"/>
      <c r="F74" s="889"/>
      <c r="G74" s="889"/>
      <c r="H74" s="889"/>
      <c r="I74" s="889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889"/>
      <c r="V74" s="889"/>
      <c r="W74" s="889"/>
      <c r="X74" s="890"/>
    </row>
    <row r="75" spans="1:24" ht="15">
      <c r="A75" s="898"/>
      <c r="B75" s="888" t="s">
        <v>1221</v>
      </c>
      <c r="C75" s="895"/>
      <c r="D75" s="895"/>
      <c r="E75" s="895"/>
      <c r="F75" s="889"/>
      <c r="G75" s="889"/>
      <c r="H75" s="889"/>
      <c r="I75" s="889"/>
      <c r="J75" s="889"/>
      <c r="K75" s="889"/>
      <c r="L75" s="889"/>
      <c r="M75" s="889"/>
      <c r="N75" s="889"/>
      <c r="O75" s="889"/>
      <c r="P75" s="889"/>
      <c r="Q75" s="889"/>
      <c r="R75" s="889"/>
      <c r="S75" s="889"/>
      <c r="T75" s="889"/>
      <c r="U75" s="889"/>
      <c r="V75" s="889"/>
      <c r="W75" s="889"/>
      <c r="X75" s="890"/>
    </row>
    <row r="76" spans="1:24" ht="15">
      <c r="A76" s="898"/>
      <c r="B76" s="888" t="s">
        <v>1252</v>
      </c>
      <c r="C76" s="895"/>
      <c r="D76" s="895"/>
      <c r="E76" s="895"/>
      <c r="F76" s="889"/>
      <c r="G76" s="889"/>
      <c r="H76" s="889"/>
      <c r="I76" s="889"/>
      <c r="J76" s="889"/>
      <c r="K76" s="889"/>
      <c r="L76" s="889"/>
      <c r="M76" s="889"/>
      <c r="N76" s="889"/>
      <c r="O76" s="889"/>
      <c r="P76" s="889"/>
      <c r="Q76" s="889"/>
      <c r="R76" s="889"/>
      <c r="S76" s="889"/>
      <c r="T76" s="889"/>
      <c r="U76" s="889"/>
      <c r="V76" s="889"/>
      <c r="W76" s="889"/>
      <c r="X76" s="890"/>
    </row>
    <row r="77" spans="1:24" ht="15">
      <c r="A77" s="903"/>
      <c r="B77" s="904" t="s">
        <v>1253</v>
      </c>
      <c r="C77" s="889"/>
      <c r="D77" s="889"/>
      <c r="E77" s="889"/>
      <c r="F77" s="889"/>
      <c r="G77" s="889"/>
      <c r="H77" s="889"/>
      <c r="I77" s="889"/>
      <c r="J77" s="889"/>
      <c r="K77" s="889"/>
      <c r="L77" s="889"/>
      <c r="M77" s="889"/>
      <c r="N77" s="889"/>
      <c r="O77" s="889"/>
      <c r="P77" s="889"/>
      <c r="Q77" s="889"/>
      <c r="R77" s="889"/>
      <c r="S77" s="889"/>
      <c r="T77" s="889"/>
      <c r="U77" s="889"/>
      <c r="V77" s="889"/>
      <c r="W77" s="889"/>
      <c r="X77" s="890"/>
    </row>
    <row r="78" spans="1:24" ht="15">
      <c r="A78" s="888"/>
      <c r="B78" s="888" t="s">
        <v>151</v>
      </c>
      <c r="C78" s="889"/>
      <c r="D78" s="889"/>
      <c r="E78" s="889"/>
      <c r="F78" s="889"/>
      <c r="G78" s="889"/>
      <c r="H78" s="889"/>
      <c r="I78" s="889"/>
      <c r="J78" s="889"/>
      <c r="K78" s="889"/>
      <c r="L78" s="889"/>
      <c r="M78" s="889"/>
      <c r="N78" s="889"/>
      <c r="O78" s="889"/>
      <c r="P78" s="889"/>
      <c r="Q78" s="889"/>
      <c r="R78" s="889"/>
      <c r="S78" s="889"/>
      <c r="T78" s="889"/>
      <c r="U78" s="889"/>
      <c r="V78" s="889"/>
      <c r="W78" s="889"/>
      <c r="X78" s="890"/>
    </row>
    <row r="79" spans="1:24" ht="15">
      <c r="A79" s="888"/>
      <c r="B79" s="888"/>
      <c r="C79" s="889"/>
      <c r="D79" s="889"/>
      <c r="E79" s="889"/>
      <c r="F79" s="889"/>
      <c r="G79" s="889"/>
      <c r="H79" s="889"/>
      <c r="I79" s="889"/>
      <c r="J79" s="889"/>
      <c r="K79" s="889"/>
      <c r="L79" s="889"/>
      <c r="M79" s="889"/>
      <c r="N79" s="889"/>
      <c r="O79" s="889"/>
      <c r="P79" s="889"/>
      <c r="Q79" s="889"/>
      <c r="R79" s="889"/>
      <c r="S79" s="889"/>
      <c r="T79" s="889"/>
      <c r="U79" s="889"/>
      <c r="V79" s="889"/>
      <c r="W79" s="889"/>
      <c r="X79" s="890"/>
    </row>
    <row r="80" spans="1:24" ht="15">
      <c r="A80" s="888"/>
      <c r="B80" s="888" t="s">
        <v>1254</v>
      </c>
      <c r="C80" s="889"/>
      <c r="D80" s="889"/>
      <c r="E80" s="889"/>
      <c r="F80" s="889"/>
      <c r="G80" s="889"/>
      <c r="H80" s="889"/>
      <c r="I80" s="889"/>
      <c r="J80" s="889"/>
      <c r="K80" s="889"/>
      <c r="L80" s="889"/>
      <c r="M80" s="889"/>
      <c r="N80" s="889"/>
      <c r="O80" s="889"/>
      <c r="P80" s="889"/>
      <c r="Q80" s="889"/>
      <c r="R80" s="889"/>
      <c r="S80" s="889"/>
      <c r="T80" s="889"/>
      <c r="U80" s="889"/>
      <c r="V80" s="889"/>
      <c r="W80" s="889"/>
      <c r="X80" s="890"/>
    </row>
    <row r="81" spans="1:24" ht="15">
      <c r="A81" s="875"/>
      <c r="B81" s="875" t="s">
        <v>1255</v>
      </c>
      <c r="C81" s="889"/>
      <c r="D81" s="889"/>
      <c r="E81" s="889"/>
      <c r="F81" s="889"/>
      <c r="G81" s="889"/>
      <c r="H81" s="889"/>
      <c r="I81" s="889"/>
      <c r="J81" s="889"/>
      <c r="K81" s="889"/>
      <c r="L81" s="889"/>
      <c r="M81" s="889"/>
      <c r="N81" s="889"/>
      <c r="O81" s="889"/>
      <c r="P81" s="889"/>
      <c r="Q81" s="889"/>
      <c r="R81" s="889"/>
      <c r="S81" s="889"/>
      <c r="T81" s="889"/>
      <c r="U81" s="889"/>
      <c r="V81" s="889"/>
      <c r="W81" s="889"/>
      <c r="X81" s="890"/>
    </row>
    <row r="82" spans="1:24" ht="15">
      <c r="A82" s="888"/>
      <c r="B82" s="888"/>
      <c r="C82" s="889"/>
      <c r="D82" s="889"/>
      <c r="E82" s="889"/>
      <c r="F82" s="889"/>
      <c r="G82" s="889"/>
      <c r="H82" s="889"/>
      <c r="I82" s="889"/>
      <c r="J82" s="889"/>
      <c r="K82" s="889"/>
      <c r="L82" s="889"/>
      <c r="M82" s="889"/>
      <c r="N82" s="889"/>
      <c r="O82" s="889"/>
      <c r="P82" s="889"/>
      <c r="Q82" s="889"/>
      <c r="R82" s="889"/>
      <c r="S82" s="889"/>
      <c r="T82" s="889"/>
      <c r="U82" s="889"/>
      <c r="V82" s="889"/>
      <c r="W82" s="889"/>
      <c r="X82" s="890"/>
    </row>
    <row r="83" spans="1:24" ht="15">
      <c r="A83" s="888"/>
      <c r="B83" s="888" t="s">
        <v>1256</v>
      </c>
      <c r="C83" s="889"/>
      <c r="D83" s="889"/>
      <c r="E83" s="889"/>
      <c r="F83" s="889"/>
      <c r="G83" s="889"/>
      <c r="H83" s="889"/>
      <c r="I83" s="889"/>
      <c r="J83" s="889"/>
      <c r="K83" s="889"/>
      <c r="L83" s="889"/>
      <c r="M83" s="889"/>
      <c r="N83" s="889"/>
      <c r="O83" s="889"/>
      <c r="P83" s="889"/>
      <c r="Q83" s="889"/>
      <c r="R83" s="889"/>
      <c r="S83" s="889"/>
      <c r="T83" s="889"/>
      <c r="U83" s="889"/>
      <c r="V83" s="889"/>
      <c r="W83" s="889"/>
      <c r="X83" s="890"/>
    </row>
    <row r="84" spans="1:24" ht="15">
      <c r="A84" s="888"/>
      <c r="B84" s="888"/>
      <c r="C84" s="889"/>
      <c r="D84" s="889"/>
      <c r="E84" s="889"/>
      <c r="F84" s="889"/>
      <c r="G84" s="889"/>
      <c r="H84" s="889"/>
      <c r="I84" s="889"/>
      <c r="J84" s="889"/>
      <c r="K84" s="889"/>
      <c r="L84" s="889"/>
      <c r="M84" s="889"/>
      <c r="N84" s="889"/>
      <c r="O84" s="889"/>
      <c r="P84" s="889"/>
      <c r="Q84" s="889"/>
      <c r="R84" s="889"/>
      <c r="S84" s="889"/>
      <c r="T84" s="889"/>
      <c r="U84" s="889"/>
      <c r="V84" s="889"/>
      <c r="W84" s="889"/>
      <c r="X84" s="890"/>
    </row>
    <row r="85" spans="1:24" ht="15">
      <c r="A85" s="888"/>
      <c r="B85" s="888"/>
      <c r="C85" s="889"/>
      <c r="D85" s="889"/>
      <c r="E85" s="889"/>
      <c r="F85" s="889"/>
      <c r="G85" s="889"/>
      <c r="H85" s="889"/>
      <c r="I85" s="889"/>
      <c r="J85" s="889"/>
      <c r="K85" s="889"/>
      <c r="L85" s="889"/>
      <c r="M85" s="889"/>
      <c r="N85" s="889"/>
      <c r="O85" s="889"/>
      <c r="P85" s="889"/>
      <c r="Q85" s="889"/>
      <c r="R85" s="889"/>
      <c r="S85" s="889"/>
      <c r="T85" s="889"/>
      <c r="U85" s="889"/>
      <c r="V85" s="889"/>
      <c r="W85" s="889"/>
      <c r="X85" s="890"/>
    </row>
    <row r="86" spans="1:24" ht="15">
      <c r="A86" s="888"/>
      <c r="B86" s="888"/>
      <c r="C86" s="889"/>
      <c r="D86" s="889"/>
      <c r="E86" s="889"/>
      <c r="F86" s="889"/>
      <c r="G86" s="889"/>
      <c r="H86" s="889"/>
      <c r="I86" s="889"/>
      <c r="J86" s="889"/>
      <c r="K86" s="889"/>
      <c r="L86" s="889"/>
      <c r="M86" s="889"/>
      <c r="N86" s="889"/>
      <c r="O86" s="889"/>
      <c r="P86" s="889"/>
      <c r="Q86" s="889"/>
      <c r="R86" s="889"/>
      <c r="S86" s="889"/>
      <c r="T86" s="889"/>
      <c r="U86" s="889"/>
      <c r="V86" s="889"/>
      <c r="W86" s="889"/>
      <c r="X86" s="890"/>
    </row>
    <row r="87" spans="1:24" ht="15">
      <c r="A87" s="888"/>
      <c r="B87" s="888"/>
      <c r="C87" s="889"/>
      <c r="D87" s="889"/>
      <c r="E87" s="889"/>
      <c r="F87" s="889"/>
      <c r="G87" s="889"/>
      <c r="H87" s="889"/>
      <c r="I87" s="889"/>
      <c r="J87" s="889"/>
      <c r="K87" s="889"/>
      <c r="L87" s="889"/>
      <c r="M87" s="889"/>
      <c r="N87" s="889"/>
      <c r="O87" s="889"/>
      <c r="P87" s="889"/>
      <c r="Q87" s="889"/>
      <c r="R87" s="889"/>
      <c r="S87" s="889"/>
      <c r="T87" s="889"/>
      <c r="U87" s="889"/>
      <c r="V87" s="889"/>
      <c r="W87" s="889"/>
      <c r="X87" s="890"/>
    </row>
    <row r="88" spans="1:24" ht="15">
      <c r="A88" s="888"/>
      <c r="B88" s="888"/>
      <c r="C88" s="889"/>
      <c r="D88" s="889"/>
      <c r="E88" s="889"/>
      <c r="F88" s="889"/>
      <c r="G88" s="889"/>
      <c r="H88" s="889"/>
      <c r="I88" s="889"/>
      <c r="J88" s="889"/>
      <c r="K88" s="889"/>
      <c r="L88" s="889"/>
      <c r="M88" s="889"/>
      <c r="N88" s="889"/>
      <c r="O88" s="889"/>
      <c r="P88" s="889"/>
      <c r="Q88" s="889"/>
      <c r="R88" s="889"/>
      <c r="S88" s="889"/>
      <c r="T88" s="889"/>
      <c r="U88" s="889"/>
      <c r="V88" s="889"/>
      <c r="W88" s="889"/>
      <c r="X88" s="890"/>
    </row>
    <row r="89" spans="1:24" ht="15">
      <c r="A89" s="888"/>
      <c r="B89" s="888"/>
      <c r="C89" s="889"/>
      <c r="D89" s="889"/>
      <c r="E89" s="889"/>
      <c r="F89" s="889"/>
      <c r="G89" s="889"/>
      <c r="H89" s="889"/>
      <c r="I89" s="889"/>
      <c r="J89" s="889"/>
      <c r="K89" s="889"/>
      <c r="L89" s="889"/>
      <c r="M89" s="889"/>
      <c r="N89" s="889"/>
      <c r="O89" s="889"/>
      <c r="P89" s="889"/>
      <c r="Q89" s="889"/>
      <c r="R89" s="889"/>
      <c r="S89" s="889"/>
      <c r="T89" s="889"/>
      <c r="U89" s="889"/>
      <c r="V89" s="889"/>
      <c r="W89" s="889"/>
      <c r="X89" s="890"/>
    </row>
    <row r="90" spans="1:24" ht="15">
      <c r="A90" s="888"/>
      <c r="B90" s="888"/>
      <c r="C90" s="889"/>
      <c r="D90" s="889"/>
      <c r="E90" s="889"/>
      <c r="F90" s="889"/>
      <c r="G90" s="889"/>
      <c r="H90" s="889"/>
      <c r="I90" s="889"/>
      <c r="J90" s="889"/>
      <c r="K90" s="889"/>
      <c r="L90" s="889"/>
      <c r="M90" s="889"/>
      <c r="N90" s="889"/>
      <c r="O90" s="889"/>
      <c r="P90" s="889"/>
      <c r="Q90" s="889"/>
      <c r="R90" s="889"/>
      <c r="S90" s="889"/>
      <c r="T90" s="889"/>
      <c r="U90" s="889"/>
      <c r="V90" s="889"/>
      <c r="W90" s="889"/>
      <c r="X90" s="890"/>
    </row>
    <row r="91" spans="1:24" ht="15">
      <c r="A91" s="888"/>
      <c r="B91" s="888"/>
      <c r="C91" s="889"/>
      <c r="D91" s="889"/>
      <c r="E91" s="889"/>
      <c r="F91" s="889"/>
      <c r="G91" s="889"/>
      <c r="H91" s="889"/>
      <c r="I91" s="889"/>
      <c r="J91" s="889"/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889"/>
      <c r="X91" s="890"/>
    </row>
    <row r="92" spans="1:24" ht="15">
      <c r="A92" s="888"/>
      <c r="B92" s="888"/>
      <c r="C92" s="889"/>
      <c r="D92" s="889"/>
      <c r="E92" s="889"/>
      <c r="F92" s="889"/>
      <c r="G92" s="889"/>
      <c r="H92" s="889"/>
      <c r="I92" s="889"/>
      <c r="J92" s="889"/>
      <c r="K92" s="889"/>
      <c r="L92" s="889"/>
      <c r="M92" s="889"/>
      <c r="N92" s="889"/>
      <c r="O92" s="889"/>
      <c r="P92" s="889"/>
      <c r="Q92" s="889"/>
      <c r="R92" s="889"/>
      <c r="S92" s="889"/>
      <c r="T92" s="889"/>
      <c r="U92" s="889"/>
      <c r="V92" s="889"/>
      <c r="W92" s="889"/>
      <c r="X92" s="890"/>
    </row>
    <row r="93" spans="1:24" ht="15">
      <c r="A93" s="888"/>
      <c r="B93" s="888"/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889"/>
      <c r="U93" s="889"/>
      <c r="V93" s="889"/>
      <c r="W93" s="889"/>
      <c r="X93" s="890"/>
    </row>
  </sheetData>
  <sheetProtection/>
  <mergeCells count="3">
    <mergeCell ref="L1:W1"/>
    <mergeCell ref="A49:A55"/>
    <mergeCell ref="C1:K1"/>
  </mergeCells>
  <printOptions horizontalCentered="1" verticalCentered="1"/>
  <pageMargins left="0.1968503937007874" right="0.1968503937007874" top="0" bottom="0" header="0.31496062992125984" footer="0.31496062992125984"/>
  <pageSetup horizontalDpi="600" verticalDpi="600" orientation="landscape" paperSize="9" scale="53" r:id="rId1"/>
  <headerFooter>
    <oddHeader>&amp;C2019. évi költségvetés &amp;R&amp;A</oddHeader>
    <oddFooter>&amp;C&amp;P/&amp;N
</oddFooter>
  </headerFooter>
  <rowBreaks count="1" manualBreakCount="1">
    <brk id="47" max="255" man="1"/>
  </rowBreaks>
  <colBreaks count="1" manualBreakCount="1">
    <brk id="11" max="4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80" zoomScaleNormal="80" zoomScaleSheetLayoutView="80" workbookViewId="0" topLeftCell="A1">
      <selection activeCell="Q30" sqref="Q30"/>
    </sheetView>
  </sheetViews>
  <sheetFormatPr defaultColWidth="9.00390625" defaultRowHeight="12.75"/>
  <cols>
    <col min="1" max="1" width="6.00390625" style="0" customWidth="1"/>
    <col min="2" max="2" width="40.125" style="0" customWidth="1"/>
    <col min="3" max="3" width="6.125" style="0" customWidth="1"/>
    <col min="4" max="4" width="14.125" style="0" customWidth="1"/>
    <col min="5" max="5" width="14.875" style="0" customWidth="1"/>
    <col min="6" max="6" width="15.125" style="0" customWidth="1"/>
    <col min="7" max="7" width="15.875" style="0" customWidth="1"/>
    <col min="8" max="8" width="15.125" style="0" bestFit="1" customWidth="1"/>
    <col min="9" max="9" width="14.75390625" style="0" customWidth="1"/>
    <col min="10" max="10" width="14.375" style="0" customWidth="1"/>
    <col min="11" max="11" width="14.625" style="0" customWidth="1"/>
    <col min="12" max="12" width="15.125" style="0" customWidth="1"/>
    <col min="13" max="13" width="15.125" style="0" bestFit="1" customWidth="1"/>
    <col min="14" max="14" width="14.00390625" style="0" customWidth="1"/>
    <col min="15" max="15" width="15.125" style="0" bestFit="1" customWidth="1"/>
    <col min="16" max="16" width="16.375" style="0" bestFit="1" customWidth="1"/>
    <col min="17" max="17" width="13.25390625" style="11" customWidth="1"/>
    <col min="18" max="18" width="20.75390625" style="0" customWidth="1"/>
    <col min="19" max="19" width="12.00390625" style="0" bestFit="1" customWidth="1"/>
    <col min="20" max="20" width="13.625" style="0" bestFit="1" customWidth="1"/>
    <col min="22" max="22" width="17.25390625" style="906" bestFit="1" customWidth="1"/>
  </cols>
  <sheetData>
    <row r="1" spans="1:16" ht="15.75">
      <c r="A1" s="1457" t="s">
        <v>1344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1457"/>
      <c r="O1" s="1457"/>
      <c r="P1" s="1457"/>
    </row>
    <row r="2" spans="1:16" ht="20.25" customHeight="1">
      <c r="A2" s="907"/>
      <c r="B2" s="907"/>
      <c r="C2" s="905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</row>
    <row r="3" spans="1:16" ht="30" customHeight="1">
      <c r="A3" s="908" t="s">
        <v>39</v>
      </c>
      <c r="B3" s="878" t="s">
        <v>3</v>
      </c>
      <c r="C3" s="909" t="s">
        <v>1257</v>
      </c>
      <c r="D3" s="910" t="s">
        <v>108</v>
      </c>
      <c r="E3" s="910" t="s">
        <v>110</v>
      </c>
      <c r="F3" s="910" t="s">
        <v>118</v>
      </c>
      <c r="G3" s="910" t="s">
        <v>1258</v>
      </c>
      <c r="H3" s="910" t="s">
        <v>1259</v>
      </c>
      <c r="I3" s="910" t="s">
        <v>1260</v>
      </c>
      <c r="J3" s="910" t="s">
        <v>1261</v>
      </c>
      <c r="K3" s="910" t="s">
        <v>1262</v>
      </c>
      <c r="L3" s="910" t="s">
        <v>1263</v>
      </c>
      <c r="M3" s="910" t="s">
        <v>1264</v>
      </c>
      <c r="N3" s="910" t="s">
        <v>1265</v>
      </c>
      <c r="O3" s="910" t="s">
        <v>1266</v>
      </c>
      <c r="P3" s="877" t="s">
        <v>151</v>
      </c>
    </row>
    <row r="4" spans="1:16" ht="22.5" customHeight="1">
      <c r="A4" s="911"/>
      <c r="B4" s="912" t="s">
        <v>1067</v>
      </c>
      <c r="C4" s="909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877"/>
    </row>
    <row r="5" spans="1:16" ht="22.5" customHeight="1">
      <c r="A5" s="911" t="s">
        <v>246</v>
      </c>
      <c r="B5" s="912" t="s">
        <v>1267</v>
      </c>
      <c r="C5" s="909"/>
      <c r="D5" s="913">
        <v>2373441885</v>
      </c>
      <c r="E5" s="913">
        <f>+D29</f>
        <v>2227732689</v>
      </c>
      <c r="F5" s="913">
        <f aca="true" t="shared" si="0" ref="F5:O5">+E29</f>
        <v>2072983493</v>
      </c>
      <c r="G5" s="913">
        <f t="shared" si="0"/>
        <v>3531652764</v>
      </c>
      <c r="H5" s="913">
        <f t="shared" si="0"/>
        <v>3176903568</v>
      </c>
      <c r="I5" s="913">
        <f t="shared" si="0"/>
        <v>3005509518</v>
      </c>
      <c r="J5" s="913">
        <f t="shared" si="0"/>
        <v>2350760322</v>
      </c>
      <c r="K5" s="913">
        <f t="shared" si="0"/>
        <v>2006011126</v>
      </c>
      <c r="L5" s="913">
        <f t="shared" si="0"/>
        <v>1209627893</v>
      </c>
      <c r="M5" s="913">
        <f t="shared" si="0"/>
        <v>2444878697</v>
      </c>
      <c r="N5" s="913">
        <f t="shared" si="0"/>
        <v>2290129501</v>
      </c>
      <c r="O5" s="913">
        <f t="shared" si="0"/>
        <v>2135380305</v>
      </c>
      <c r="P5" s="914" t="s">
        <v>835</v>
      </c>
    </row>
    <row r="6" spans="1:22" ht="27.75" customHeight="1">
      <c r="A6" s="911" t="s">
        <v>247</v>
      </c>
      <c r="B6" s="915" t="s">
        <v>54</v>
      </c>
      <c r="C6" s="916" t="s">
        <v>267</v>
      </c>
      <c r="D6" s="917">
        <v>72060512</v>
      </c>
      <c r="E6" s="917">
        <v>72060512</v>
      </c>
      <c r="F6" s="917">
        <v>72060512</v>
      </c>
      <c r="G6" s="917">
        <v>72060512</v>
      </c>
      <c r="H6" s="917">
        <v>72060512</v>
      </c>
      <c r="I6" s="917">
        <v>72060512</v>
      </c>
      <c r="J6" s="917">
        <v>72060512</v>
      </c>
      <c r="K6" s="917">
        <v>72060512</v>
      </c>
      <c r="L6" s="917">
        <v>72060512</v>
      </c>
      <c r="M6" s="917">
        <v>72060512</v>
      </c>
      <c r="N6" s="917">
        <v>72060512</v>
      </c>
      <c r="O6" s="917">
        <v>72060512</v>
      </c>
      <c r="P6" s="918">
        <f>SUM(D6:O6)</f>
        <v>864726144</v>
      </c>
      <c r="Q6" s="919">
        <f>+'3. sz.Városi szintű összesen'!G30</f>
        <v>864726144</v>
      </c>
      <c r="R6" s="886">
        <f aca="true" t="shared" si="1" ref="R6:R27">+P6-Q6</f>
        <v>0</v>
      </c>
      <c r="V6" s="906">
        <f>+Q6/12</f>
        <v>72060512</v>
      </c>
    </row>
    <row r="7" spans="1:18" ht="31.5" customHeight="1">
      <c r="A7" s="911" t="s">
        <v>248</v>
      </c>
      <c r="B7" s="915" t="s">
        <v>278</v>
      </c>
      <c r="C7" s="916" t="s">
        <v>268</v>
      </c>
      <c r="D7" s="917"/>
      <c r="E7" s="917"/>
      <c r="F7" s="917">
        <v>220000000</v>
      </c>
      <c r="G7" s="917"/>
      <c r="H7" s="917"/>
      <c r="I7" s="917"/>
      <c r="J7" s="917"/>
      <c r="K7" s="917">
        <v>8365963</v>
      </c>
      <c r="L7" s="917"/>
      <c r="M7" s="917"/>
      <c r="N7" s="917"/>
      <c r="O7" s="917"/>
      <c r="P7" s="918">
        <f aca="true" t="shared" si="2" ref="P7:P14">SUM(D7:O7)</f>
        <v>228365963</v>
      </c>
      <c r="Q7" s="919">
        <f>+'3. sz.Városi szintű összesen'!G31</f>
        <v>228365963</v>
      </c>
      <c r="R7" s="886">
        <f t="shared" si="1"/>
        <v>0</v>
      </c>
    </row>
    <row r="8" spans="1:18" ht="18" customHeight="1">
      <c r="A8" s="911" t="s">
        <v>249</v>
      </c>
      <c r="B8" s="915" t="s">
        <v>277</v>
      </c>
      <c r="C8" s="916" t="s">
        <v>269</v>
      </c>
      <c r="D8" s="917">
        <v>10000000</v>
      </c>
      <c r="E8" s="917">
        <v>10000000</v>
      </c>
      <c r="F8" s="917">
        <v>1500000000</v>
      </c>
      <c r="G8" s="917">
        <v>10000000</v>
      </c>
      <c r="H8" s="917">
        <v>300000000</v>
      </c>
      <c r="I8" s="917">
        <v>10000000</v>
      </c>
      <c r="J8" s="917">
        <v>10000000</v>
      </c>
      <c r="K8" s="917">
        <v>10000000</v>
      </c>
      <c r="L8" s="917">
        <v>1500000000</v>
      </c>
      <c r="M8" s="917">
        <v>10000000</v>
      </c>
      <c r="N8" s="917">
        <v>10000000</v>
      </c>
      <c r="O8" s="917">
        <f>400000000+2810779</f>
        <v>402810779</v>
      </c>
      <c r="P8" s="918">
        <f t="shared" si="2"/>
        <v>3782810779</v>
      </c>
      <c r="Q8" s="919">
        <f>+'3. sz.Városi szintű összesen'!G32</f>
        <v>3782810779</v>
      </c>
      <c r="R8" s="886">
        <f t="shared" si="1"/>
        <v>0</v>
      </c>
    </row>
    <row r="9" spans="1:19" ht="18" customHeight="1">
      <c r="A9" s="911" t="s">
        <v>250</v>
      </c>
      <c r="B9" s="915" t="s">
        <v>1068</v>
      </c>
      <c r="C9" s="916" t="s">
        <v>270</v>
      </c>
      <c r="D9" s="917">
        <v>38052272</v>
      </c>
      <c r="E9" s="917">
        <v>38052272</v>
      </c>
      <c r="F9" s="917">
        <v>38052272</v>
      </c>
      <c r="G9" s="917">
        <v>38052272</v>
      </c>
      <c r="H9" s="917">
        <v>38052272</v>
      </c>
      <c r="I9" s="917">
        <v>38052272</v>
      </c>
      <c r="J9" s="917">
        <v>38052272</v>
      </c>
      <c r="K9" s="917">
        <v>38052272</v>
      </c>
      <c r="L9" s="917">
        <v>38052272</v>
      </c>
      <c r="M9" s="917">
        <v>38052272</v>
      </c>
      <c r="N9" s="917">
        <v>38052272</v>
      </c>
      <c r="O9" s="917">
        <f>38052272+5</f>
        <v>38052277</v>
      </c>
      <c r="P9" s="918">
        <f t="shared" si="2"/>
        <v>456627269</v>
      </c>
      <c r="Q9" s="919">
        <f>+'3. sz.Városi szintű összesen'!G33</f>
        <v>456627269</v>
      </c>
      <c r="R9" s="886">
        <f t="shared" si="1"/>
        <v>0</v>
      </c>
      <c r="S9">
        <f>+Q9/12</f>
        <v>38052272.416666664</v>
      </c>
    </row>
    <row r="10" spans="1:18" ht="18" customHeight="1">
      <c r="A10" s="911" t="s">
        <v>251</v>
      </c>
      <c r="B10" s="915" t="s">
        <v>300</v>
      </c>
      <c r="C10" s="916" t="s">
        <v>271</v>
      </c>
      <c r="D10" s="917"/>
      <c r="E10" s="917"/>
      <c r="F10" s="917"/>
      <c r="G10" s="917"/>
      <c r="H10" s="917">
        <v>100000000</v>
      </c>
      <c r="I10" s="917"/>
      <c r="J10" s="917"/>
      <c r="K10" s="917"/>
      <c r="L10" s="917"/>
      <c r="M10" s="917"/>
      <c r="N10" s="917"/>
      <c r="O10" s="917"/>
      <c r="P10" s="918">
        <f t="shared" si="2"/>
        <v>100000000</v>
      </c>
      <c r="Q10" s="919">
        <f>+'3. sz.Városi szintű összesen'!G34</f>
        <v>100000000</v>
      </c>
      <c r="R10" s="886">
        <f t="shared" si="1"/>
        <v>0</v>
      </c>
    </row>
    <row r="11" spans="1:18" ht="18" customHeight="1">
      <c r="A11" s="911" t="s">
        <v>252</v>
      </c>
      <c r="B11" s="915" t="s">
        <v>295</v>
      </c>
      <c r="C11" s="916" t="s">
        <v>272</v>
      </c>
      <c r="D11" s="917">
        <v>9040000</v>
      </c>
      <c r="E11" s="917"/>
      <c r="F11" s="917"/>
      <c r="G11" s="917"/>
      <c r="H11" s="917"/>
      <c r="I11" s="917"/>
      <c r="J11" s="917"/>
      <c r="K11" s="917"/>
      <c r="L11" s="917"/>
      <c r="M11" s="917"/>
      <c r="N11" s="917"/>
      <c r="O11" s="917"/>
      <c r="P11" s="918">
        <f t="shared" si="2"/>
        <v>9040000</v>
      </c>
      <c r="Q11" s="919">
        <f>+'3. sz.Városi szintű összesen'!G35</f>
        <v>9040000</v>
      </c>
      <c r="R11" s="886">
        <f t="shared" si="1"/>
        <v>0</v>
      </c>
    </row>
    <row r="12" spans="1:18" ht="18" customHeight="1">
      <c r="A12" s="911" t="s">
        <v>253</v>
      </c>
      <c r="B12" s="915" t="s">
        <v>296</v>
      </c>
      <c r="C12" s="916" t="s">
        <v>273</v>
      </c>
      <c r="D12" s="917">
        <v>13987152</v>
      </c>
      <c r="E12" s="917">
        <v>13987152</v>
      </c>
      <c r="F12" s="917">
        <v>13987152</v>
      </c>
      <c r="G12" s="917">
        <v>13987152</v>
      </c>
      <c r="H12" s="917">
        <v>13987152</v>
      </c>
      <c r="I12" s="917">
        <v>13987152</v>
      </c>
      <c r="J12" s="917">
        <v>13987152</v>
      </c>
      <c r="K12" s="917">
        <v>13987152</v>
      </c>
      <c r="L12" s="917">
        <v>13987152</v>
      </c>
      <c r="M12" s="917">
        <v>13987152</v>
      </c>
      <c r="N12" s="917">
        <v>13987152</v>
      </c>
      <c r="O12" s="917">
        <f>13987152-4</f>
        <v>13987148</v>
      </c>
      <c r="P12" s="918">
        <f t="shared" si="2"/>
        <v>167845820</v>
      </c>
      <c r="Q12" s="919">
        <f>+'3. sz.Városi szintű összesen'!G36</f>
        <v>167845820</v>
      </c>
      <c r="R12" s="886">
        <f t="shared" si="1"/>
        <v>0</v>
      </c>
    </row>
    <row r="13" spans="1:21" ht="18" customHeight="1">
      <c r="A13" s="911" t="s">
        <v>254</v>
      </c>
      <c r="B13" s="920" t="s">
        <v>297</v>
      </c>
      <c r="C13" s="921" t="s">
        <v>274</v>
      </c>
      <c r="D13" s="922">
        <f>SUM(D6:D12)</f>
        <v>143139936</v>
      </c>
      <c r="E13" s="922">
        <f aca="true" t="shared" si="3" ref="E13:P13">SUM(E6:E12)</f>
        <v>134099936</v>
      </c>
      <c r="F13" s="922">
        <f t="shared" si="3"/>
        <v>1844099936</v>
      </c>
      <c r="G13" s="922">
        <f t="shared" si="3"/>
        <v>134099936</v>
      </c>
      <c r="H13" s="922">
        <f t="shared" si="3"/>
        <v>524099936</v>
      </c>
      <c r="I13" s="922">
        <f t="shared" si="3"/>
        <v>134099936</v>
      </c>
      <c r="J13" s="922">
        <f t="shared" si="3"/>
        <v>134099936</v>
      </c>
      <c r="K13" s="922">
        <f t="shared" si="3"/>
        <v>142465899</v>
      </c>
      <c r="L13" s="922">
        <f t="shared" si="3"/>
        <v>1624099936</v>
      </c>
      <c r="M13" s="951">
        <f t="shared" si="3"/>
        <v>134099936</v>
      </c>
      <c r="N13" s="951">
        <f t="shared" si="3"/>
        <v>134099936</v>
      </c>
      <c r="O13" s="951">
        <f t="shared" si="3"/>
        <v>526910716</v>
      </c>
      <c r="P13" s="922">
        <f t="shared" si="3"/>
        <v>5609415975</v>
      </c>
      <c r="Q13" s="919">
        <f>SUM(Q6:Q12)</f>
        <v>5609415975</v>
      </c>
      <c r="R13" s="886">
        <f t="shared" si="1"/>
        <v>0</v>
      </c>
      <c r="T13" s="886">
        <f>SUM(Q6:Q12)</f>
        <v>5609415975</v>
      </c>
      <c r="U13" s="886">
        <f>+T13-Q13</f>
        <v>0</v>
      </c>
    </row>
    <row r="14" spans="1:19" ht="18" customHeight="1">
      <c r="A14" s="911" t="s">
        <v>255</v>
      </c>
      <c r="B14" s="923" t="s">
        <v>1268</v>
      </c>
      <c r="C14" s="924" t="s">
        <v>276</v>
      </c>
      <c r="D14" s="917">
        <v>506398822</v>
      </c>
      <c r="E14" s="917">
        <v>506398822</v>
      </c>
      <c r="F14" s="917">
        <v>506398822</v>
      </c>
      <c r="G14" s="917">
        <v>506398822</v>
      </c>
      <c r="H14" s="917">
        <v>506398822</v>
      </c>
      <c r="I14" s="917">
        <v>506398822</v>
      </c>
      <c r="J14" s="917">
        <v>506398822</v>
      </c>
      <c r="K14" s="917">
        <v>506398822</v>
      </c>
      <c r="L14" s="917">
        <v>506398822</v>
      </c>
      <c r="M14" s="917">
        <v>506398822</v>
      </c>
      <c r="N14" s="917">
        <v>506398822</v>
      </c>
      <c r="O14" s="917">
        <f>506398822-2</f>
        <v>506398820</v>
      </c>
      <c r="P14" s="918">
        <f t="shared" si="2"/>
        <v>6076785862</v>
      </c>
      <c r="Q14" s="919">
        <f>+'3. sz.Városi szintű összesen'!G38</f>
        <v>6076785862</v>
      </c>
      <c r="R14" s="886">
        <f t="shared" si="1"/>
        <v>0</v>
      </c>
      <c r="S14">
        <f>+Q14/12</f>
        <v>506398821.8333333</v>
      </c>
    </row>
    <row r="15" spans="1:21" ht="33" customHeight="1">
      <c r="A15" s="911" t="s">
        <v>256</v>
      </c>
      <c r="B15" s="925" t="s">
        <v>1269</v>
      </c>
      <c r="C15" s="926"/>
      <c r="D15" s="922">
        <f>+D13+D14</f>
        <v>649538758</v>
      </c>
      <c r="E15" s="922">
        <f aca="true" t="shared" si="4" ref="E15:P15">+E13+E14</f>
        <v>640498758</v>
      </c>
      <c r="F15" s="922">
        <f t="shared" si="4"/>
        <v>2350498758</v>
      </c>
      <c r="G15" s="922">
        <f t="shared" si="4"/>
        <v>640498758</v>
      </c>
      <c r="H15" s="922">
        <f t="shared" si="4"/>
        <v>1030498758</v>
      </c>
      <c r="I15" s="922">
        <f t="shared" si="4"/>
        <v>640498758</v>
      </c>
      <c r="J15" s="922">
        <f t="shared" si="4"/>
        <v>640498758</v>
      </c>
      <c r="K15" s="922">
        <f t="shared" si="4"/>
        <v>648864721</v>
      </c>
      <c r="L15" s="922">
        <f t="shared" si="4"/>
        <v>2130498758</v>
      </c>
      <c r="M15" s="951">
        <f t="shared" si="4"/>
        <v>640498758</v>
      </c>
      <c r="N15" s="951">
        <f t="shared" si="4"/>
        <v>640498758</v>
      </c>
      <c r="O15" s="951">
        <f t="shared" si="4"/>
        <v>1033309536</v>
      </c>
      <c r="P15" s="922">
        <f t="shared" si="4"/>
        <v>11686201837</v>
      </c>
      <c r="Q15" s="919">
        <f>+Q13+Q14</f>
        <v>11686201837</v>
      </c>
      <c r="R15" s="886">
        <f t="shared" si="1"/>
        <v>0</v>
      </c>
      <c r="T15" s="886">
        <f>+Q13+Q14</f>
        <v>11686201837</v>
      </c>
      <c r="U15" s="886">
        <f>+T15-Q15</f>
        <v>0</v>
      </c>
    </row>
    <row r="16" spans="1:18" ht="22.5" customHeight="1">
      <c r="A16" s="911"/>
      <c r="B16" s="912" t="s">
        <v>312</v>
      </c>
      <c r="C16" s="909"/>
      <c r="D16" s="913"/>
      <c r="E16" s="913"/>
      <c r="F16" s="913"/>
      <c r="G16" s="913"/>
      <c r="H16" s="913"/>
      <c r="I16" s="913"/>
      <c r="J16" s="913"/>
      <c r="K16" s="913"/>
      <c r="L16" s="913"/>
      <c r="M16" s="950"/>
      <c r="N16" s="950"/>
      <c r="O16" s="950"/>
      <c r="P16" s="914"/>
      <c r="Q16" s="919"/>
      <c r="R16" s="886">
        <f t="shared" si="1"/>
        <v>0</v>
      </c>
    </row>
    <row r="17" spans="1:22" ht="16.5" customHeight="1">
      <c r="A17" s="911" t="s">
        <v>283</v>
      </c>
      <c r="B17" s="927" t="s">
        <v>1270</v>
      </c>
      <c r="C17" s="916" t="s">
        <v>257</v>
      </c>
      <c r="D17" s="917">
        <v>134302209</v>
      </c>
      <c r="E17" s="917">
        <v>134302209</v>
      </c>
      <c r="F17" s="917">
        <v>134302209</v>
      </c>
      <c r="G17" s="917">
        <v>134302209</v>
      </c>
      <c r="H17" s="917">
        <v>134302209</v>
      </c>
      <c r="I17" s="917">
        <v>134302209</v>
      </c>
      <c r="J17" s="917">
        <v>134302209</v>
      </c>
      <c r="K17" s="917">
        <v>134302209</v>
      </c>
      <c r="L17" s="917">
        <v>134302209</v>
      </c>
      <c r="M17" s="917">
        <v>134302209</v>
      </c>
      <c r="N17" s="917">
        <v>134302209</v>
      </c>
      <c r="O17" s="917">
        <f>134302209-3</f>
        <v>134302206</v>
      </c>
      <c r="P17" s="918">
        <f>SUM(D17:O17)</f>
        <v>1611626505</v>
      </c>
      <c r="Q17" s="919">
        <f>+'3. sz.Városi szintű összesen'!G8</f>
        <v>1611626505</v>
      </c>
      <c r="R17" s="886">
        <f t="shared" si="1"/>
        <v>0</v>
      </c>
      <c r="S17">
        <f>+Q17/12</f>
        <v>134302208.75</v>
      </c>
      <c r="V17" s="906">
        <f>+Q17/12</f>
        <v>134302208.75</v>
      </c>
    </row>
    <row r="18" spans="1:22" ht="29.25" customHeight="1">
      <c r="A18" s="911" t="s">
        <v>284</v>
      </c>
      <c r="B18" s="915" t="s">
        <v>258</v>
      </c>
      <c r="C18" s="916" t="s">
        <v>259</v>
      </c>
      <c r="D18" s="917">
        <v>29117974</v>
      </c>
      <c r="E18" s="917">
        <v>29117974</v>
      </c>
      <c r="F18" s="917">
        <v>29117974</v>
      </c>
      <c r="G18" s="917">
        <v>29117974</v>
      </c>
      <c r="H18" s="917">
        <v>29117974</v>
      </c>
      <c r="I18" s="917">
        <v>29117974</v>
      </c>
      <c r="J18" s="917">
        <v>29117974</v>
      </c>
      <c r="K18" s="917">
        <v>29117974</v>
      </c>
      <c r="L18" s="917">
        <v>29117974</v>
      </c>
      <c r="M18" s="917">
        <v>29117974</v>
      </c>
      <c r="N18" s="917">
        <v>29117974</v>
      </c>
      <c r="O18" s="917">
        <f>29117974+8</f>
        <v>29117982</v>
      </c>
      <c r="P18" s="918">
        <f aca="true" t="shared" si="5" ref="P18:P24">SUM(D18:O18)</f>
        <v>349415696</v>
      </c>
      <c r="Q18" s="919">
        <f>+'3. sz.Városi szintű összesen'!G9</f>
        <v>349415696</v>
      </c>
      <c r="R18" s="886">
        <f t="shared" si="1"/>
        <v>0</v>
      </c>
      <c r="S18">
        <f>+Q18/12</f>
        <v>29117974.666666668</v>
      </c>
      <c r="V18" s="906">
        <f>+Q18/12</f>
        <v>29117974.666666668</v>
      </c>
    </row>
    <row r="19" spans="1:22" ht="15.75" customHeight="1">
      <c r="A19" s="911" t="s">
        <v>285</v>
      </c>
      <c r="B19" s="915" t="s">
        <v>406</v>
      </c>
      <c r="C19" s="916" t="s">
        <v>260</v>
      </c>
      <c r="D19" s="917">
        <v>178973872</v>
      </c>
      <c r="E19" s="917">
        <v>178973872</v>
      </c>
      <c r="F19" s="917">
        <v>178973872</v>
      </c>
      <c r="G19" s="917">
        <v>178973872</v>
      </c>
      <c r="H19" s="917">
        <v>178973872</v>
      </c>
      <c r="I19" s="917">
        <v>178973872</v>
      </c>
      <c r="J19" s="917">
        <v>178973872</v>
      </c>
      <c r="K19" s="917">
        <v>178973872</v>
      </c>
      <c r="L19" s="917">
        <v>178973872</v>
      </c>
      <c r="M19" s="917">
        <v>178973872</v>
      </c>
      <c r="N19" s="917">
        <v>178973872</v>
      </c>
      <c r="O19" s="917">
        <f>178973872-6</f>
        <v>178973866</v>
      </c>
      <c r="P19" s="918">
        <f t="shared" si="5"/>
        <v>2147686458</v>
      </c>
      <c r="Q19" s="919">
        <f>+'3. sz.Városi szintű összesen'!G10</f>
        <v>2147686458</v>
      </c>
      <c r="R19" s="886">
        <f t="shared" si="1"/>
        <v>0</v>
      </c>
      <c r="S19">
        <f>+Q19/12</f>
        <v>178973871.5</v>
      </c>
      <c r="V19" s="906">
        <f>+Q19/12</f>
        <v>178973871.5</v>
      </c>
    </row>
    <row r="20" spans="1:22" ht="15.75" customHeight="1">
      <c r="A20" s="911" t="s">
        <v>286</v>
      </c>
      <c r="B20" s="928" t="s">
        <v>1271</v>
      </c>
      <c r="C20" s="916" t="s">
        <v>261</v>
      </c>
      <c r="D20" s="917">
        <v>3484078</v>
      </c>
      <c r="E20" s="917">
        <v>3484078</v>
      </c>
      <c r="F20" s="917">
        <v>3484078</v>
      </c>
      <c r="G20" s="917">
        <v>3484078</v>
      </c>
      <c r="H20" s="917">
        <v>3484078</v>
      </c>
      <c r="I20" s="917">
        <v>3484078</v>
      </c>
      <c r="J20" s="917">
        <v>3484078</v>
      </c>
      <c r="K20" s="917">
        <v>3484078</v>
      </c>
      <c r="L20" s="917">
        <v>3484078</v>
      </c>
      <c r="M20" s="917">
        <v>3484078</v>
      </c>
      <c r="N20" s="917">
        <v>3484078</v>
      </c>
      <c r="O20" s="917">
        <f>3484078+2</f>
        <v>3484080</v>
      </c>
      <c r="P20" s="918">
        <f t="shared" si="5"/>
        <v>41808938</v>
      </c>
      <c r="Q20" s="919">
        <f>+'3. sz.Városi szintű összesen'!G11</f>
        <v>41808938</v>
      </c>
      <c r="R20" s="886">
        <f t="shared" si="1"/>
        <v>0</v>
      </c>
      <c r="V20" s="906">
        <f>+Q20/12</f>
        <v>3484078.1666666665</v>
      </c>
    </row>
    <row r="21" spans="1:19" ht="15.75" customHeight="1">
      <c r="A21" s="911" t="s">
        <v>287</v>
      </c>
      <c r="B21" s="928" t="s">
        <v>292</v>
      </c>
      <c r="C21" s="916" t="s">
        <v>262</v>
      </c>
      <c r="D21" s="917">
        <v>118439642</v>
      </c>
      <c r="E21" s="917">
        <v>118439642</v>
      </c>
      <c r="F21" s="917">
        <v>118439642</v>
      </c>
      <c r="G21" s="917">
        <v>118439642</v>
      </c>
      <c r="H21" s="917">
        <v>118439642</v>
      </c>
      <c r="I21" s="917">
        <v>118439642</v>
      </c>
      <c r="J21" s="917">
        <v>118439642</v>
      </c>
      <c r="K21" s="917">
        <v>118439642</v>
      </c>
      <c r="L21" s="917">
        <v>118439642</v>
      </c>
      <c r="M21" s="917">
        <v>118439642</v>
      </c>
      <c r="N21" s="917">
        <v>118439642</v>
      </c>
      <c r="O21" s="917">
        <f>118439642+5</f>
        <v>118439647</v>
      </c>
      <c r="P21" s="918">
        <f t="shared" si="5"/>
        <v>1421275709</v>
      </c>
      <c r="Q21" s="919">
        <f>+'3. sz.Városi szintű összesen'!G12</f>
        <v>1421275709</v>
      </c>
      <c r="R21" s="886">
        <f t="shared" si="1"/>
        <v>0</v>
      </c>
      <c r="S21">
        <f>+Q21/12</f>
        <v>118439642.41666667</v>
      </c>
    </row>
    <row r="22" spans="1:18" ht="15.75" customHeight="1">
      <c r="A22" s="911" t="s">
        <v>288</v>
      </c>
      <c r="B22" s="915" t="s">
        <v>299</v>
      </c>
      <c r="C22" s="916" t="s">
        <v>263</v>
      </c>
      <c r="D22" s="917"/>
      <c r="E22" s="917"/>
      <c r="F22" s="917">
        <v>96581533</v>
      </c>
      <c r="G22" s="917">
        <v>200000000</v>
      </c>
      <c r="H22" s="917">
        <v>300000000</v>
      </c>
      <c r="I22" s="917">
        <v>300000000</v>
      </c>
      <c r="J22" s="917">
        <v>40000000</v>
      </c>
      <c r="K22" s="917">
        <v>500000000</v>
      </c>
      <c r="L22" s="1007">
        <v>100000000</v>
      </c>
      <c r="M22" s="917"/>
      <c r="N22" s="917"/>
      <c r="O22" s="917"/>
      <c r="P22" s="918">
        <f t="shared" si="5"/>
        <v>1536581533</v>
      </c>
      <c r="Q22" s="919">
        <f>+'3. sz.Városi szintű összesen'!G16</f>
        <v>1536581532.8976378</v>
      </c>
      <c r="R22" s="886">
        <f t="shared" si="1"/>
        <v>0.10236215591430664</v>
      </c>
    </row>
    <row r="23" spans="1:18" ht="15.75" customHeight="1">
      <c r="A23" s="911" t="s">
        <v>289</v>
      </c>
      <c r="B23" s="928" t="s">
        <v>1272</v>
      </c>
      <c r="C23" s="916" t="s">
        <v>264</v>
      </c>
      <c r="D23" s="917"/>
      <c r="E23" s="917"/>
      <c r="F23" s="917"/>
      <c r="G23" s="917"/>
      <c r="H23" s="917">
        <v>106644854</v>
      </c>
      <c r="I23" s="917">
        <v>200000000</v>
      </c>
      <c r="J23" s="917">
        <v>150000000</v>
      </c>
      <c r="K23" s="917">
        <v>150000000</v>
      </c>
      <c r="L23" s="917"/>
      <c r="M23" s="917"/>
      <c r="N23" s="917"/>
      <c r="O23" s="917"/>
      <c r="P23" s="918">
        <f t="shared" si="5"/>
        <v>606644854</v>
      </c>
      <c r="Q23" s="919">
        <f>+'3. sz.Városi szintű összesen'!G17</f>
        <v>606644854</v>
      </c>
      <c r="R23" s="886">
        <f t="shared" si="1"/>
        <v>0</v>
      </c>
    </row>
    <row r="24" spans="1:18" ht="15.75" customHeight="1">
      <c r="A24" s="911" t="s">
        <v>290</v>
      </c>
      <c r="B24" s="928" t="s">
        <v>293</v>
      </c>
      <c r="C24" s="916" t="s">
        <v>265</v>
      </c>
      <c r="D24" s="917">
        <v>4683875</v>
      </c>
      <c r="E24" s="917">
        <v>4683875</v>
      </c>
      <c r="F24" s="917">
        <v>4683875</v>
      </c>
      <c r="G24" s="917">
        <v>4683875</v>
      </c>
      <c r="H24" s="917">
        <v>4683875</v>
      </c>
      <c r="I24" s="917">
        <v>4683875</v>
      </c>
      <c r="J24" s="917">
        <v>4683875</v>
      </c>
      <c r="K24" s="917">
        <v>4683875</v>
      </c>
      <c r="L24" s="917">
        <v>4683875</v>
      </c>
      <c r="M24" s="917">
        <v>4683875</v>
      </c>
      <c r="N24" s="917">
        <v>4683875</v>
      </c>
      <c r="O24" s="917">
        <v>4683875</v>
      </c>
      <c r="P24" s="918">
        <f t="shared" si="5"/>
        <v>56206500</v>
      </c>
      <c r="Q24" s="919">
        <f>+'3. sz.Városi szintű összesen'!G18</f>
        <v>56206500</v>
      </c>
      <c r="R24" s="886">
        <f t="shared" si="1"/>
        <v>0</v>
      </c>
    </row>
    <row r="25" spans="1:21" ht="15.75" customHeight="1">
      <c r="A25" s="911" t="s">
        <v>291</v>
      </c>
      <c r="B25" s="920" t="s">
        <v>1273</v>
      </c>
      <c r="C25" s="921" t="s">
        <v>266</v>
      </c>
      <c r="D25" s="922">
        <f>SUM(D17:D24)</f>
        <v>469001650</v>
      </c>
      <c r="E25" s="922">
        <f aca="true" t="shared" si="6" ref="E25:P25">SUM(E17:E24)</f>
        <v>469001650</v>
      </c>
      <c r="F25" s="922">
        <f t="shared" si="6"/>
        <v>565583183</v>
      </c>
      <c r="G25" s="922">
        <f t="shared" si="6"/>
        <v>669001650</v>
      </c>
      <c r="H25" s="922">
        <f t="shared" si="6"/>
        <v>875646504</v>
      </c>
      <c r="I25" s="922">
        <f t="shared" si="6"/>
        <v>969001650</v>
      </c>
      <c r="J25" s="922">
        <f t="shared" si="6"/>
        <v>659001650</v>
      </c>
      <c r="K25" s="922">
        <f t="shared" si="6"/>
        <v>1119001650</v>
      </c>
      <c r="L25" s="922">
        <f t="shared" si="6"/>
        <v>569001650</v>
      </c>
      <c r="M25" s="951">
        <f t="shared" si="6"/>
        <v>469001650</v>
      </c>
      <c r="N25" s="951">
        <f t="shared" si="6"/>
        <v>469001650</v>
      </c>
      <c r="O25" s="951">
        <f t="shared" si="6"/>
        <v>469001656</v>
      </c>
      <c r="P25" s="922">
        <f t="shared" si="6"/>
        <v>7771246193</v>
      </c>
      <c r="Q25" s="919">
        <f>SUM(Q17:Q24)</f>
        <v>7771246192.897638</v>
      </c>
      <c r="R25" s="886">
        <f t="shared" si="1"/>
        <v>0.10236167907714844</v>
      </c>
      <c r="T25" s="886">
        <f>SUM(Q17:Q24)</f>
        <v>7771246192.897638</v>
      </c>
      <c r="U25" s="886">
        <f>+T25-Q25</f>
        <v>0</v>
      </c>
    </row>
    <row r="26" spans="1:19" ht="15.75" customHeight="1">
      <c r="A26" s="911" t="s">
        <v>322</v>
      </c>
      <c r="B26" s="923" t="s">
        <v>1274</v>
      </c>
      <c r="C26" s="924" t="s">
        <v>275</v>
      </c>
      <c r="D26" s="917">
        <v>326246304</v>
      </c>
      <c r="E26" s="917">
        <v>326246304</v>
      </c>
      <c r="F26" s="917">
        <v>326246304</v>
      </c>
      <c r="G26" s="917">
        <v>326246304</v>
      </c>
      <c r="H26" s="917">
        <v>326246304</v>
      </c>
      <c r="I26" s="917">
        <v>326246304</v>
      </c>
      <c r="J26" s="917">
        <v>326246304</v>
      </c>
      <c r="K26" s="917">
        <v>326246304</v>
      </c>
      <c r="L26" s="917">
        <v>326246304</v>
      </c>
      <c r="M26" s="917">
        <v>326246304</v>
      </c>
      <c r="N26" s="917">
        <v>326246304</v>
      </c>
      <c r="O26" s="917">
        <f>326246304-4</f>
        <v>326246300</v>
      </c>
      <c r="P26" s="922">
        <f>SUM(D26:O26)</f>
        <v>3914955644</v>
      </c>
      <c r="Q26" s="919">
        <f>+'3. sz.Városi szintű összesen'!G21</f>
        <v>3914955644</v>
      </c>
      <c r="R26" s="886">
        <f t="shared" si="1"/>
        <v>0</v>
      </c>
      <c r="S26">
        <f>+Q26/12</f>
        <v>326246303.6666667</v>
      </c>
    </row>
    <row r="27" spans="1:21" ht="35.25" customHeight="1">
      <c r="A27" s="911" t="s">
        <v>323</v>
      </c>
      <c r="B27" s="925" t="s">
        <v>1275</v>
      </c>
      <c r="C27" s="926"/>
      <c r="D27" s="922">
        <f>+D25+D26</f>
        <v>795247954</v>
      </c>
      <c r="E27" s="922">
        <f aca="true" t="shared" si="7" ref="E27:O27">+E25+E26</f>
        <v>795247954</v>
      </c>
      <c r="F27" s="922">
        <f t="shared" si="7"/>
        <v>891829487</v>
      </c>
      <c r="G27" s="922">
        <f t="shared" si="7"/>
        <v>995247954</v>
      </c>
      <c r="H27" s="922">
        <f t="shared" si="7"/>
        <v>1201892808</v>
      </c>
      <c r="I27" s="922">
        <f t="shared" si="7"/>
        <v>1295247954</v>
      </c>
      <c r="J27" s="922">
        <f t="shared" si="7"/>
        <v>985247954</v>
      </c>
      <c r="K27" s="922">
        <f t="shared" si="7"/>
        <v>1445247954</v>
      </c>
      <c r="L27" s="922">
        <f t="shared" si="7"/>
        <v>895247954</v>
      </c>
      <c r="M27" s="951">
        <f t="shared" si="7"/>
        <v>795247954</v>
      </c>
      <c r="N27" s="951">
        <f t="shared" si="7"/>
        <v>795247954</v>
      </c>
      <c r="O27" s="951">
        <f t="shared" si="7"/>
        <v>795247956</v>
      </c>
      <c r="P27" s="922">
        <f>P25+P26</f>
        <v>11686201837</v>
      </c>
      <c r="Q27" s="919">
        <f>+'[3]3. sz.Városi szintű összesen'!J28</f>
        <v>6428994697</v>
      </c>
      <c r="R27" s="886">
        <f t="shared" si="1"/>
        <v>5257207140</v>
      </c>
      <c r="T27" s="886">
        <f>+Q26+Q25</f>
        <v>11686201836.897638</v>
      </c>
      <c r="U27" s="886">
        <f>+T27-Q27</f>
        <v>5257207139.897638</v>
      </c>
    </row>
    <row r="28" spans="1:18" ht="20.25" customHeight="1">
      <c r="A28" s="911" t="s">
        <v>324</v>
      </c>
      <c r="B28" s="925" t="s">
        <v>1276</v>
      </c>
      <c r="C28" s="926"/>
      <c r="D28" s="922">
        <f>+D15-D27</f>
        <v>-145709196</v>
      </c>
      <c r="E28" s="922">
        <f aca="true" t="shared" si="8" ref="E28:P28">+E15-E27</f>
        <v>-154749196</v>
      </c>
      <c r="F28" s="922">
        <f t="shared" si="8"/>
        <v>1458669271</v>
      </c>
      <c r="G28" s="922">
        <f t="shared" si="8"/>
        <v>-354749196</v>
      </c>
      <c r="H28" s="922">
        <f t="shared" si="8"/>
        <v>-171394050</v>
      </c>
      <c r="I28" s="922">
        <f t="shared" si="8"/>
        <v>-654749196</v>
      </c>
      <c r="J28" s="922">
        <f t="shared" si="8"/>
        <v>-344749196</v>
      </c>
      <c r="K28" s="922">
        <f t="shared" si="8"/>
        <v>-796383233</v>
      </c>
      <c r="L28" s="922">
        <f t="shared" si="8"/>
        <v>1235250804</v>
      </c>
      <c r="M28" s="951">
        <f t="shared" si="8"/>
        <v>-154749196</v>
      </c>
      <c r="N28" s="951">
        <f t="shared" si="8"/>
        <v>-154749196</v>
      </c>
      <c r="O28" s="951">
        <f t="shared" si="8"/>
        <v>238061580</v>
      </c>
      <c r="P28" s="951">
        <f t="shared" si="8"/>
        <v>0</v>
      </c>
      <c r="Q28" s="919"/>
      <c r="R28" s="886"/>
    </row>
    <row r="29" spans="1:22" s="11" customFormat="1" ht="21" customHeight="1">
      <c r="A29" s="908" t="s">
        <v>325</v>
      </c>
      <c r="B29" s="929" t="s">
        <v>1277</v>
      </c>
      <c r="C29" s="930"/>
      <c r="D29" s="922">
        <f>+D5+D15-D27</f>
        <v>2227732689</v>
      </c>
      <c r="E29" s="922">
        <f>+E5+E15-E27</f>
        <v>2072983493</v>
      </c>
      <c r="F29" s="922">
        <f aca="true" t="shared" si="9" ref="F29:O29">+F5+F15-F27</f>
        <v>3531652764</v>
      </c>
      <c r="G29" s="922">
        <f t="shared" si="9"/>
        <v>3176903568</v>
      </c>
      <c r="H29" s="922">
        <f t="shared" si="9"/>
        <v>3005509518</v>
      </c>
      <c r="I29" s="922">
        <f t="shared" si="9"/>
        <v>2350760322</v>
      </c>
      <c r="J29" s="922">
        <f t="shared" si="9"/>
        <v>2006011126</v>
      </c>
      <c r="K29" s="922">
        <f t="shared" si="9"/>
        <v>1209627893</v>
      </c>
      <c r="L29" s="922">
        <f t="shared" si="9"/>
        <v>2444878697</v>
      </c>
      <c r="M29" s="922">
        <f t="shared" si="9"/>
        <v>2290129501</v>
      </c>
      <c r="N29" s="922">
        <f t="shared" si="9"/>
        <v>2135380305</v>
      </c>
      <c r="O29" s="922">
        <f t="shared" si="9"/>
        <v>2373441885</v>
      </c>
      <c r="P29" s="922"/>
      <c r="Q29" s="919"/>
      <c r="R29" s="919"/>
      <c r="V29" s="931"/>
    </row>
  </sheetData>
  <sheetProtection/>
  <mergeCells count="1">
    <mergeCell ref="A1:P1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59" r:id="rId1"/>
  <headerFooter>
    <oddHeader>&amp;C2019. évi költségvetés&amp;R&amp;A</oddHeader>
    <oddFooter>&amp;C&amp;P/&amp;N</oddFooter>
  </headerFooter>
  <colBreaks count="1" manualBreakCount="1">
    <brk id="16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80" zoomScaleSheetLayoutView="80" workbookViewId="0" topLeftCell="A4">
      <selection activeCell="P28" sqref="P28"/>
    </sheetView>
  </sheetViews>
  <sheetFormatPr defaultColWidth="9.00390625" defaultRowHeight="12.75"/>
  <cols>
    <col min="1" max="1" width="4.875" style="0" customWidth="1"/>
    <col min="2" max="2" width="43.375" style="0" customWidth="1"/>
    <col min="3" max="3" width="6.375" style="0" bestFit="1" customWidth="1"/>
    <col min="4" max="4" width="13.125" style="0" customWidth="1"/>
    <col min="5" max="5" width="12.75390625" style="0" customWidth="1"/>
    <col min="6" max="6" width="14.75390625" style="0" customWidth="1"/>
    <col min="7" max="7" width="12.875" style="0" customWidth="1"/>
    <col min="8" max="9" width="13.875" style="0" customWidth="1"/>
    <col min="10" max="10" width="13.375" style="0" customWidth="1"/>
    <col min="11" max="11" width="14.00390625" style="0" customWidth="1"/>
    <col min="12" max="12" width="14.125" style="0" customWidth="1"/>
    <col min="13" max="13" width="13.25390625" style="0" customWidth="1"/>
    <col min="14" max="14" width="13.00390625" style="0" customWidth="1"/>
    <col min="15" max="15" width="14.25390625" style="0" customWidth="1"/>
    <col min="16" max="16" width="15.625" style="0" customWidth="1"/>
    <col min="17" max="17" width="18.125" style="0" customWidth="1"/>
    <col min="18" max="18" width="13.875" style="0" customWidth="1"/>
  </cols>
  <sheetData>
    <row r="1" spans="1:17" ht="30" customHeight="1">
      <c r="A1" s="1457" t="s">
        <v>1350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1457"/>
      <c r="O1" s="1457"/>
      <c r="P1" s="1457"/>
      <c r="Q1" s="795"/>
    </row>
    <row r="2" spans="1:17" ht="30" customHeight="1">
      <c r="A2" s="905"/>
      <c r="B2" s="905"/>
      <c r="C2" s="905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795"/>
    </row>
    <row r="3" spans="1:17" ht="15">
      <c r="A3" s="1460" t="s">
        <v>1278</v>
      </c>
      <c r="B3" s="1461"/>
      <c r="C3" s="1466" t="s">
        <v>1257</v>
      </c>
      <c r="D3" s="1458" t="s">
        <v>108</v>
      </c>
      <c r="E3" s="1458" t="s">
        <v>110</v>
      </c>
      <c r="F3" s="1458" t="s">
        <v>118</v>
      </c>
      <c r="G3" s="1458" t="s">
        <v>1258</v>
      </c>
      <c r="H3" s="1458" t="s">
        <v>1259</v>
      </c>
      <c r="I3" s="1458" t="s">
        <v>1260</v>
      </c>
      <c r="J3" s="1458" t="s">
        <v>1261</v>
      </c>
      <c r="K3" s="1458" t="s">
        <v>1262</v>
      </c>
      <c r="L3" s="1458" t="s">
        <v>1263</v>
      </c>
      <c r="M3" s="1458" t="s">
        <v>1264</v>
      </c>
      <c r="N3" s="1458" t="s">
        <v>1265</v>
      </c>
      <c r="O3" s="1458" t="s">
        <v>1266</v>
      </c>
      <c r="P3" s="1459" t="s">
        <v>1418</v>
      </c>
      <c r="Q3" s="932"/>
    </row>
    <row r="4" spans="1:17" ht="15">
      <c r="A4" s="1462"/>
      <c r="B4" s="1463"/>
      <c r="C4" s="1467"/>
      <c r="D4" s="1458"/>
      <c r="E4" s="1458"/>
      <c r="F4" s="1458"/>
      <c r="G4" s="1458"/>
      <c r="H4" s="1458"/>
      <c r="I4" s="1458"/>
      <c r="J4" s="1458"/>
      <c r="K4" s="1458"/>
      <c r="L4" s="1458"/>
      <c r="M4" s="1458"/>
      <c r="N4" s="1458"/>
      <c r="O4" s="1458"/>
      <c r="P4" s="1459"/>
      <c r="Q4" s="932"/>
    </row>
    <row r="5" spans="1:17" ht="15">
      <c r="A5" s="1464"/>
      <c r="B5" s="1465"/>
      <c r="C5" s="1468"/>
      <c r="D5" s="1458"/>
      <c r="E5" s="1458"/>
      <c r="F5" s="1458"/>
      <c r="G5" s="1458"/>
      <c r="H5" s="1458"/>
      <c r="I5" s="1458"/>
      <c r="J5" s="1458"/>
      <c r="K5" s="1458"/>
      <c r="L5" s="1458"/>
      <c r="M5" s="1458"/>
      <c r="N5" s="1458"/>
      <c r="O5" s="1458"/>
      <c r="P5" s="1459"/>
      <c r="Q5" s="932"/>
    </row>
    <row r="6" spans="1:18" ht="21" customHeight="1">
      <c r="A6" s="911"/>
      <c r="B6" s="912" t="s">
        <v>1067</v>
      </c>
      <c r="C6" s="909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877"/>
      <c r="Q6" s="11"/>
      <c r="R6" s="886">
        <f>+Q6-P6</f>
        <v>0</v>
      </c>
    </row>
    <row r="7" spans="1:18" ht="21" customHeight="1">
      <c r="A7" s="911" t="s">
        <v>247</v>
      </c>
      <c r="B7" s="915" t="s">
        <v>54</v>
      </c>
      <c r="C7" s="916" t="s">
        <v>267</v>
      </c>
      <c r="D7" s="917">
        <v>72060512</v>
      </c>
      <c r="E7" s="917">
        <v>72060512</v>
      </c>
      <c r="F7" s="917">
        <v>72060512</v>
      </c>
      <c r="G7" s="917">
        <v>72060512</v>
      </c>
      <c r="H7" s="917">
        <v>72060512</v>
      </c>
      <c r="I7" s="917">
        <v>72060512</v>
      </c>
      <c r="J7" s="917">
        <v>72060512</v>
      </c>
      <c r="K7" s="917">
        <v>72060512</v>
      </c>
      <c r="L7" s="917">
        <v>72060512</v>
      </c>
      <c r="M7" s="917">
        <v>72060512</v>
      </c>
      <c r="N7" s="917">
        <v>72060512</v>
      </c>
      <c r="O7" s="917">
        <v>72060512</v>
      </c>
      <c r="P7" s="918">
        <f>SUM(D7:O7)</f>
        <v>864726144</v>
      </c>
      <c r="Q7" s="919">
        <f>+'[3]3. sz.Városi szintű összesen'!J29</f>
        <v>791148457</v>
      </c>
      <c r="R7" s="886">
        <f aca="true" t="shared" si="0" ref="R7:R28">+Q7-P7</f>
        <v>-73577687</v>
      </c>
    </row>
    <row r="8" spans="1:18" ht="27" customHeight="1">
      <c r="A8" s="911" t="s">
        <v>248</v>
      </c>
      <c r="B8" s="915" t="s">
        <v>278</v>
      </c>
      <c r="C8" s="916" t="s">
        <v>268</v>
      </c>
      <c r="D8" s="917"/>
      <c r="E8" s="917"/>
      <c r="F8" s="917">
        <v>220000000</v>
      </c>
      <c r="G8" s="917"/>
      <c r="H8" s="917"/>
      <c r="I8" s="917"/>
      <c r="J8" s="917"/>
      <c r="K8" s="917">
        <v>8365963</v>
      </c>
      <c r="L8" s="917"/>
      <c r="M8" s="917"/>
      <c r="N8" s="917"/>
      <c r="O8" s="917"/>
      <c r="P8" s="918">
        <f aca="true" t="shared" si="1" ref="P8:P15">SUM(D8:O8)</f>
        <v>228365963</v>
      </c>
      <c r="Q8" s="919">
        <f>+'[3]3. sz.Városi szintű összesen'!J30</f>
        <v>0</v>
      </c>
      <c r="R8" s="886">
        <f t="shared" si="0"/>
        <v>-228365963</v>
      </c>
    </row>
    <row r="9" spans="1:18" ht="21" customHeight="1">
      <c r="A9" s="911" t="s">
        <v>249</v>
      </c>
      <c r="B9" s="915" t="s">
        <v>277</v>
      </c>
      <c r="C9" s="916" t="s">
        <v>269</v>
      </c>
      <c r="D9" s="917">
        <v>10000000</v>
      </c>
      <c r="E9" s="917">
        <v>10000000</v>
      </c>
      <c r="F9" s="917">
        <v>1500000000</v>
      </c>
      <c r="G9" s="917">
        <v>10000000</v>
      </c>
      <c r="H9" s="917">
        <v>300000000</v>
      </c>
      <c r="I9" s="917">
        <v>10000000</v>
      </c>
      <c r="J9" s="917">
        <v>10000000</v>
      </c>
      <c r="K9" s="917">
        <v>10000000</v>
      </c>
      <c r="L9" s="917">
        <v>1500000000</v>
      </c>
      <c r="M9" s="917">
        <v>10000000</v>
      </c>
      <c r="N9" s="917">
        <v>10000000</v>
      </c>
      <c r="O9" s="917">
        <f>400000000+2810779</f>
        <v>402810779</v>
      </c>
      <c r="P9" s="918">
        <f t="shared" si="1"/>
        <v>3782810779</v>
      </c>
      <c r="Q9" s="919">
        <f>+'[3]3. sz.Városi szintű összesen'!J31</f>
        <v>2983238155</v>
      </c>
      <c r="R9" s="886">
        <f t="shared" si="0"/>
        <v>-799572624</v>
      </c>
    </row>
    <row r="10" spans="1:18" ht="21" customHeight="1">
      <c r="A10" s="911" t="s">
        <v>250</v>
      </c>
      <c r="B10" s="915" t="s">
        <v>1068</v>
      </c>
      <c r="C10" s="916" t="s">
        <v>270</v>
      </c>
      <c r="D10" s="917">
        <v>38052272</v>
      </c>
      <c r="E10" s="917">
        <v>38052272</v>
      </c>
      <c r="F10" s="917">
        <v>38052272</v>
      </c>
      <c r="G10" s="917">
        <v>38052272</v>
      </c>
      <c r="H10" s="917">
        <v>38052272</v>
      </c>
      <c r="I10" s="917">
        <v>38052272</v>
      </c>
      <c r="J10" s="917">
        <v>38052272</v>
      </c>
      <c r="K10" s="917">
        <v>38052272</v>
      </c>
      <c r="L10" s="917">
        <v>38052272</v>
      </c>
      <c r="M10" s="917">
        <v>38052272</v>
      </c>
      <c r="N10" s="917">
        <v>38052272</v>
      </c>
      <c r="O10" s="917">
        <f>38052272+5</f>
        <v>38052277</v>
      </c>
      <c r="P10" s="918">
        <f t="shared" si="1"/>
        <v>456627269</v>
      </c>
      <c r="Q10" s="919">
        <f>+'[3]3. sz.Városi szintű összesen'!J32</f>
        <v>394755231</v>
      </c>
      <c r="R10" s="886">
        <f t="shared" si="0"/>
        <v>-61872038</v>
      </c>
    </row>
    <row r="11" spans="1:18" ht="21" customHeight="1">
      <c r="A11" s="911" t="s">
        <v>251</v>
      </c>
      <c r="B11" s="915" t="s">
        <v>300</v>
      </c>
      <c r="C11" s="916" t="s">
        <v>271</v>
      </c>
      <c r="D11" s="917"/>
      <c r="E11" s="917"/>
      <c r="F11" s="917"/>
      <c r="G11" s="917"/>
      <c r="H11" s="917">
        <v>100000000</v>
      </c>
      <c r="I11" s="917"/>
      <c r="J11" s="917"/>
      <c r="K11" s="917"/>
      <c r="L11" s="917"/>
      <c r="M11" s="917"/>
      <c r="N11" s="917"/>
      <c r="O11" s="917"/>
      <c r="P11" s="918">
        <f t="shared" si="1"/>
        <v>100000000</v>
      </c>
      <c r="Q11" s="919">
        <f>+'[3]3. sz.Városi szintű összesen'!J33</f>
        <v>181626200</v>
      </c>
      <c r="R11" s="886">
        <f t="shared" si="0"/>
        <v>81626200</v>
      </c>
    </row>
    <row r="12" spans="1:18" ht="21" customHeight="1">
      <c r="A12" s="911" t="s">
        <v>252</v>
      </c>
      <c r="B12" s="915" t="s">
        <v>295</v>
      </c>
      <c r="C12" s="916" t="s">
        <v>272</v>
      </c>
      <c r="D12" s="917">
        <v>9040000</v>
      </c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8">
        <f t="shared" si="1"/>
        <v>9040000</v>
      </c>
      <c r="Q12" s="919">
        <f>+'[3]3. sz.Városi szintű összesen'!J34</f>
        <v>45000000</v>
      </c>
      <c r="R12" s="886">
        <f t="shared" si="0"/>
        <v>35960000</v>
      </c>
    </row>
    <row r="13" spans="1:18" ht="21" customHeight="1">
      <c r="A13" s="911" t="s">
        <v>253</v>
      </c>
      <c r="B13" s="915" t="s">
        <v>296</v>
      </c>
      <c r="C13" s="916" t="s">
        <v>273</v>
      </c>
      <c r="D13" s="917">
        <v>13987152</v>
      </c>
      <c r="E13" s="917">
        <v>13987152</v>
      </c>
      <c r="F13" s="917">
        <v>13987152</v>
      </c>
      <c r="G13" s="917">
        <v>13987152</v>
      </c>
      <c r="H13" s="917">
        <v>13987152</v>
      </c>
      <c r="I13" s="917">
        <v>13987152</v>
      </c>
      <c r="J13" s="917">
        <v>13987152</v>
      </c>
      <c r="K13" s="917">
        <v>13987152</v>
      </c>
      <c r="L13" s="917">
        <v>13987152</v>
      </c>
      <c r="M13" s="917">
        <v>13987152</v>
      </c>
      <c r="N13" s="917">
        <v>13987152</v>
      </c>
      <c r="O13" s="917">
        <f>13987152-4</f>
        <v>13987148</v>
      </c>
      <c r="P13" s="918">
        <f t="shared" si="1"/>
        <v>167845820</v>
      </c>
      <c r="Q13" s="919">
        <f>+'[3]3. sz.Városi szintű összesen'!J35</f>
        <v>3694700</v>
      </c>
      <c r="R13" s="886">
        <f t="shared" si="0"/>
        <v>-164151120</v>
      </c>
    </row>
    <row r="14" spans="1:18" ht="21" customHeight="1">
      <c r="A14" s="911" t="s">
        <v>254</v>
      </c>
      <c r="B14" s="920" t="s">
        <v>297</v>
      </c>
      <c r="C14" s="921" t="s">
        <v>274</v>
      </c>
      <c r="D14" s="922">
        <f>SUM(D7:D13)</f>
        <v>143139936</v>
      </c>
      <c r="E14" s="922">
        <f aca="true" t="shared" si="2" ref="E14:O14">SUM(E7:E13)</f>
        <v>134099936</v>
      </c>
      <c r="F14" s="922">
        <f t="shared" si="2"/>
        <v>1844099936</v>
      </c>
      <c r="G14" s="922">
        <f t="shared" si="2"/>
        <v>134099936</v>
      </c>
      <c r="H14" s="922">
        <f t="shared" si="2"/>
        <v>524099936</v>
      </c>
      <c r="I14" s="922">
        <f t="shared" si="2"/>
        <v>134099936</v>
      </c>
      <c r="J14" s="922">
        <f t="shared" si="2"/>
        <v>134099936</v>
      </c>
      <c r="K14" s="922">
        <f t="shared" si="2"/>
        <v>142465899</v>
      </c>
      <c r="L14" s="922">
        <f t="shared" si="2"/>
        <v>1624099936</v>
      </c>
      <c r="M14" s="951">
        <f t="shared" si="2"/>
        <v>134099936</v>
      </c>
      <c r="N14" s="951">
        <f t="shared" si="2"/>
        <v>134099936</v>
      </c>
      <c r="O14" s="951">
        <f t="shared" si="2"/>
        <v>526910716</v>
      </c>
      <c r="P14" s="922">
        <f>SUM(P7:P13)</f>
        <v>5609415975</v>
      </c>
      <c r="Q14" s="919">
        <f>+'[3]3. sz.Városi szintű összesen'!J36</f>
        <v>4399462743</v>
      </c>
      <c r="R14" s="886">
        <f t="shared" si="0"/>
        <v>-1209953232</v>
      </c>
    </row>
    <row r="15" spans="1:18" ht="28.5" customHeight="1">
      <c r="A15" s="911" t="s">
        <v>255</v>
      </c>
      <c r="B15" s="923" t="s">
        <v>1268</v>
      </c>
      <c r="C15" s="924" t="s">
        <v>276</v>
      </c>
      <c r="D15" s="917">
        <v>506398822</v>
      </c>
      <c r="E15" s="917">
        <v>506398822</v>
      </c>
      <c r="F15" s="917">
        <v>506398822</v>
      </c>
      <c r="G15" s="917">
        <v>506398822</v>
      </c>
      <c r="H15" s="917">
        <v>506398822</v>
      </c>
      <c r="I15" s="917">
        <v>506398822</v>
      </c>
      <c r="J15" s="917">
        <v>506398822</v>
      </c>
      <c r="K15" s="917">
        <v>506398822</v>
      </c>
      <c r="L15" s="917">
        <v>506398822</v>
      </c>
      <c r="M15" s="917">
        <v>506398822</v>
      </c>
      <c r="N15" s="917">
        <v>506398822</v>
      </c>
      <c r="O15" s="917">
        <f>506398822-2</f>
        <v>506398820</v>
      </c>
      <c r="P15" s="918">
        <f t="shared" si="1"/>
        <v>6076785862</v>
      </c>
      <c r="Q15" s="919">
        <f>+'[3]3. sz.Városi szintű összesen'!J37</f>
        <v>2029531954</v>
      </c>
      <c r="R15" s="886">
        <f t="shared" si="0"/>
        <v>-4047253908</v>
      </c>
    </row>
    <row r="16" spans="1:18" ht="21" customHeight="1">
      <c r="A16" s="911" t="s">
        <v>256</v>
      </c>
      <c r="B16" s="925" t="s">
        <v>1269</v>
      </c>
      <c r="C16" s="926"/>
      <c r="D16" s="922">
        <f>+D14+D15</f>
        <v>649538758</v>
      </c>
      <c r="E16" s="922">
        <f aca="true" t="shared" si="3" ref="E16:O16">+E14+E15</f>
        <v>640498758</v>
      </c>
      <c r="F16" s="922">
        <f t="shared" si="3"/>
        <v>2350498758</v>
      </c>
      <c r="G16" s="922">
        <f t="shared" si="3"/>
        <v>640498758</v>
      </c>
      <c r="H16" s="922">
        <f t="shared" si="3"/>
        <v>1030498758</v>
      </c>
      <c r="I16" s="922">
        <f t="shared" si="3"/>
        <v>640498758</v>
      </c>
      <c r="J16" s="922">
        <f t="shared" si="3"/>
        <v>640498758</v>
      </c>
      <c r="K16" s="922">
        <f t="shared" si="3"/>
        <v>648864721</v>
      </c>
      <c r="L16" s="922">
        <f t="shared" si="3"/>
        <v>2130498758</v>
      </c>
      <c r="M16" s="951">
        <f t="shared" si="3"/>
        <v>640498758</v>
      </c>
      <c r="N16" s="951">
        <f t="shared" si="3"/>
        <v>640498758</v>
      </c>
      <c r="O16" s="951">
        <f t="shared" si="3"/>
        <v>1033309536</v>
      </c>
      <c r="P16" s="922">
        <f>+P14+P15</f>
        <v>11686201837</v>
      </c>
      <c r="Q16" s="919">
        <f>+Q14+Q15</f>
        <v>6428994697</v>
      </c>
      <c r="R16" s="886">
        <f t="shared" si="0"/>
        <v>-5257207140</v>
      </c>
    </row>
    <row r="17" spans="1:18" ht="21" customHeight="1">
      <c r="A17" s="911"/>
      <c r="B17" s="912" t="s">
        <v>312</v>
      </c>
      <c r="C17" s="909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4"/>
      <c r="Q17" s="919"/>
      <c r="R17" s="886">
        <f t="shared" si="0"/>
        <v>0</v>
      </c>
    </row>
    <row r="18" spans="1:18" ht="21" customHeight="1">
      <c r="A18" s="911" t="s">
        <v>283</v>
      </c>
      <c r="B18" s="927" t="s">
        <v>1270</v>
      </c>
      <c r="C18" s="916" t="s">
        <v>257</v>
      </c>
      <c r="D18" s="917">
        <v>134302209</v>
      </c>
      <c r="E18" s="917">
        <v>134302209</v>
      </c>
      <c r="F18" s="917">
        <v>134302209</v>
      </c>
      <c r="G18" s="917">
        <v>134302209</v>
      </c>
      <c r="H18" s="917">
        <v>134302209</v>
      </c>
      <c r="I18" s="917">
        <v>134302209</v>
      </c>
      <c r="J18" s="917">
        <v>134302209</v>
      </c>
      <c r="K18" s="917">
        <v>134302209</v>
      </c>
      <c r="L18" s="917">
        <v>134302209</v>
      </c>
      <c r="M18" s="917">
        <v>134302209</v>
      </c>
      <c r="N18" s="917">
        <v>134302209</v>
      </c>
      <c r="O18" s="917">
        <f>134302209-3</f>
        <v>134302206</v>
      </c>
      <c r="P18" s="918">
        <f>SUM(D18:O18)</f>
        <v>1611626505</v>
      </c>
      <c r="Q18" s="919">
        <f>+'[3]3. sz.Városi szintű összesen'!J8</f>
        <v>1166946643</v>
      </c>
      <c r="R18" s="886">
        <f t="shared" si="0"/>
        <v>-444679862</v>
      </c>
    </row>
    <row r="19" spans="1:18" ht="31.5" customHeight="1">
      <c r="A19" s="911" t="s">
        <v>284</v>
      </c>
      <c r="B19" s="915" t="s">
        <v>258</v>
      </c>
      <c r="C19" s="916" t="s">
        <v>259</v>
      </c>
      <c r="D19" s="917">
        <v>29117974</v>
      </c>
      <c r="E19" s="917">
        <v>29117974</v>
      </c>
      <c r="F19" s="917">
        <v>29117974</v>
      </c>
      <c r="G19" s="917">
        <v>29117974</v>
      </c>
      <c r="H19" s="917">
        <v>29117974</v>
      </c>
      <c r="I19" s="917">
        <v>29117974</v>
      </c>
      <c r="J19" s="917">
        <v>29117974</v>
      </c>
      <c r="K19" s="917">
        <v>29117974</v>
      </c>
      <c r="L19" s="917">
        <v>29117974</v>
      </c>
      <c r="M19" s="917">
        <v>29117974</v>
      </c>
      <c r="N19" s="917">
        <v>29117974</v>
      </c>
      <c r="O19" s="917">
        <f>29117974+8</f>
        <v>29117982</v>
      </c>
      <c r="P19" s="918">
        <f aca="true" t="shared" si="4" ref="P19:P25">SUM(D19:O19)</f>
        <v>349415696</v>
      </c>
      <c r="Q19" s="919">
        <f>+'[3]3. sz.Városi szintű összesen'!J9</f>
        <v>291780540</v>
      </c>
      <c r="R19" s="886">
        <f t="shared" si="0"/>
        <v>-57635156</v>
      </c>
    </row>
    <row r="20" spans="1:18" ht="21" customHeight="1">
      <c r="A20" s="911" t="s">
        <v>285</v>
      </c>
      <c r="B20" s="915" t="s">
        <v>406</v>
      </c>
      <c r="C20" s="916" t="s">
        <v>260</v>
      </c>
      <c r="D20" s="917">
        <v>178973872</v>
      </c>
      <c r="E20" s="917">
        <v>178973872</v>
      </c>
      <c r="F20" s="917">
        <v>178973872</v>
      </c>
      <c r="G20" s="917">
        <v>178973872</v>
      </c>
      <c r="H20" s="917">
        <v>178973872</v>
      </c>
      <c r="I20" s="917">
        <v>178973872</v>
      </c>
      <c r="J20" s="917">
        <v>178973872</v>
      </c>
      <c r="K20" s="917">
        <v>178973872</v>
      </c>
      <c r="L20" s="917">
        <v>178973872</v>
      </c>
      <c r="M20" s="917">
        <v>178973872</v>
      </c>
      <c r="N20" s="917">
        <v>178973872</v>
      </c>
      <c r="O20" s="917">
        <f>178973872-6</f>
        <v>178973866</v>
      </c>
      <c r="P20" s="918">
        <f t="shared" si="4"/>
        <v>2147686458</v>
      </c>
      <c r="Q20" s="919">
        <f>+'[3]3. sz.Városi szintű összesen'!J10</f>
        <v>1604933989</v>
      </c>
      <c r="R20" s="886">
        <f t="shared" si="0"/>
        <v>-542752469</v>
      </c>
    </row>
    <row r="21" spans="1:18" ht="21" customHeight="1">
      <c r="A21" s="911" t="s">
        <v>286</v>
      </c>
      <c r="B21" s="928" t="s">
        <v>1271</v>
      </c>
      <c r="C21" s="916" t="s">
        <v>261</v>
      </c>
      <c r="D21" s="917">
        <v>3484078</v>
      </c>
      <c r="E21" s="917">
        <v>3484078</v>
      </c>
      <c r="F21" s="917">
        <v>3484078</v>
      </c>
      <c r="G21" s="917">
        <v>3484078</v>
      </c>
      <c r="H21" s="917">
        <v>3484078</v>
      </c>
      <c r="I21" s="917">
        <v>3484078</v>
      </c>
      <c r="J21" s="917">
        <v>3484078</v>
      </c>
      <c r="K21" s="917">
        <v>3484078</v>
      </c>
      <c r="L21" s="917">
        <v>3484078</v>
      </c>
      <c r="M21" s="917">
        <v>3484078</v>
      </c>
      <c r="N21" s="917">
        <v>3484078</v>
      </c>
      <c r="O21" s="917">
        <f>3484078+2</f>
        <v>3484080</v>
      </c>
      <c r="P21" s="918">
        <f t="shared" si="4"/>
        <v>41808938</v>
      </c>
      <c r="Q21" s="919">
        <f>+'[3]3. sz.Városi szintű összesen'!J11</f>
        <v>24954500</v>
      </c>
      <c r="R21" s="886">
        <f t="shared" si="0"/>
        <v>-16854438</v>
      </c>
    </row>
    <row r="22" spans="1:18" ht="21" customHeight="1">
      <c r="A22" s="911" t="s">
        <v>287</v>
      </c>
      <c r="B22" s="928" t="s">
        <v>292</v>
      </c>
      <c r="C22" s="916" t="s">
        <v>262</v>
      </c>
      <c r="D22" s="917">
        <v>118439642</v>
      </c>
      <c r="E22" s="917">
        <v>118439642</v>
      </c>
      <c r="F22" s="917">
        <v>118439642</v>
      </c>
      <c r="G22" s="917">
        <v>118439642</v>
      </c>
      <c r="H22" s="917">
        <v>118439642</v>
      </c>
      <c r="I22" s="917">
        <v>118439642</v>
      </c>
      <c r="J22" s="917">
        <v>118439642</v>
      </c>
      <c r="K22" s="917">
        <v>118439642</v>
      </c>
      <c r="L22" s="917">
        <v>118439642</v>
      </c>
      <c r="M22" s="917">
        <v>118439642</v>
      </c>
      <c r="N22" s="917">
        <v>118439642</v>
      </c>
      <c r="O22" s="917">
        <f>118439642+5</f>
        <v>118439647</v>
      </c>
      <c r="P22" s="918">
        <f t="shared" si="4"/>
        <v>1421275709</v>
      </c>
      <c r="Q22" s="919">
        <f>+'[3]3. sz.Városi szintű összesen'!J12</f>
        <v>693320744</v>
      </c>
      <c r="R22" s="886">
        <f t="shared" si="0"/>
        <v>-727954965</v>
      </c>
    </row>
    <row r="23" spans="1:18" ht="21" customHeight="1">
      <c r="A23" s="911" t="s">
        <v>288</v>
      </c>
      <c r="B23" s="915" t="s">
        <v>299</v>
      </c>
      <c r="C23" s="916" t="s">
        <v>263</v>
      </c>
      <c r="D23" s="917"/>
      <c r="E23" s="917"/>
      <c r="F23" s="917">
        <v>96581533</v>
      </c>
      <c r="G23" s="917">
        <v>200000000</v>
      </c>
      <c r="H23" s="917">
        <v>300000000</v>
      </c>
      <c r="I23" s="917">
        <v>300000000</v>
      </c>
      <c r="J23" s="917">
        <v>40000000</v>
      </c>
      <c r="K23" s="917">
        <v>500000000</v>
      </c>
      <c r="L23" s="1007">
        <v>100000000</v>
      </c>
      <c r="M23" s="917"/>
      <c r="N23" s="917"/>
      <c r="O23" s="917"/>
      <c r="P23" s="918">
        <f t="shared" si="4"/>
        <v>1536581533</v>
      </c>
      <c r="Q23" s="919">
        <f>+'[3]3. sz.Városi szintű összesen'!J16</f>
        <v>216291470</v>
      </c>
      <c r="R23" s="886">
        <f t="shared" si="0"/>
        <v>-1320290063</v>
      </c>
    </row>
    <row r="24" spans="1:18" ht="21" customHeight="1">
      <c r="A24" s="911" t="s">
        <v>289</v>
      </c>
      <c r="B24" s="928" t="s">
        <v>1272</v>
      </c>
      <c r="C24" s="916" t="s">
        <v>264</v>
      </c>
      <c r="D24" s="917"/>
      <c r="E24" s="917"/>
      <c r="F24" s="917"/>
      <c r="G24" s="917"/>
      <c r="H24" s="917">
        <v>106644854</v>
      </c>
      <c r="I24" s="917">
        <v>200000000</v>
      </c>
      <c r="J24" s="917">
        <v>150000000</v>
      </c>
      <c r="K24" s="917">
        <v>150000000</v>
      </c>
      <c r="L24" s="917"/>
      <c r="M24" s="917"/>
      <c r="N24" s="917"/>
      <c r="O24" s="917"/>
      <c r="P24" s="918">
        <f t="shared" si="4"/>
        <v>606644854</v>
      </c>
      <c r="Q24" s="919">
        <f>+'[3]3. sz.Városi szintű összesen'!J17</f>
        <v>86919478</v>
      </c>
      <c r="R24" s="886">
        <f t="shared" si="0"/>
        <v>-519725376</v>
      </c>
    </row>
    <row r="25" spans="1:18" ht="21" customHeight="1">
      <c r="A25" s="911" t="s">
        <v>290</v>
      </c>
      <c r="B25" s="928" t="s">
        <v>293</v>
      </c>
      <c r="C25" s="916" t="s">
        <v>265</v>
      </c>
      <c r="D25" s="917">
        <v>4683875</v>
      </c>
      <c r="E25" s="917">
        <v>4683875</v>
      </c>
      <c r="F25" s="917">
        <v>4683875</v>
      </c>
      <c r="G25" s="917">
        <v>4683875</v>
      </c>
      <c r="H25" s="917">
        <v>4683875</v>
      </c>
      <c r="I25" s="917">
        <v>4683875</v>
      </c>
      <c r="J25" s="917">
        <v>4683875</v>
      </c>
      <c r="K25" s="917">
        <v>4683875</v>
      </c>
      <c r="L25" s="917">
        <v>4683875</v>
      </c>
      <c r="M25" s="917">
        <v>4683875</v>
      </c>
      <c r="N25" s="917">
        <v>4683875</v>
      </c>
      <c r="O25" s="917">
        <v>4683875</v>
      </c>
      <c r="P25" s="918">
        <f t="shared" si="4"/>
        <v>56206500</v>
      </c>
      <c r="Q25" s="919">
        <f>+'[3]3. sz.Városi szintű összesen'!J18</f>
        <v>408381180</v>
      </c>
      <c r="R25" s="886">
        <f t="shared" si="0"/>
        <v>352174680</v>
      </c>
    </row>
    <row r="26" spans="1:18" ht="21" customHeight="1">
      <c r="A26" s="911" t="s">
        <v>291</v>
      </c>
      <c r="B26" s="920" t="s">
        <v>1273</v>
      </c>
      <c r="C26" s="921" t="s">
        <v>266</v>
      </c>
      <c r="D26" s="922">
        <f>SUM(D18:D25)</f>
        <v>469001650</v>
      </c>
      <c r="E26" s="922">
        <f aca="true" t="shared" si="5" ref="E26:O26">SUM(E18:E25)</f>
        <v>469001650</v>
      </c>
      <c r="F26" s="922">
        <f t="shared" si="5"/>
        <v>565583183</v>
      </c>
      <c r="G26" s="922">
        <f t="shared" si="5"/>
        <v>669001650</v>
      </c>
      <c r="H26" s="922">
        <f t="shared" si="5"/>
        <v>875646504</v>
      </c>
      <c r="I26" s="922">
        <f t="shared" si="5"/>
        <v>969001650</v>
      </c>
      <c r="J26" s="922">
        <f t="shared" si="5"/>
        <v>659001650</v>
      </c>
      <c r="K26" s="922">
        <f t="shared" si="5"/>
        <v>1119001650</v>
      </c>
      <c r="L26" s="922">
        <f t="shared" si="5"/>
        <v>569001650</v>
      </c>
      <c r="M26" s="951">
        <f t="shared" si="5"/>
        <v>469001650</v>
      </c>
      <c r="N26" s="951">
        <f t="shared" si="5"/>
        <v>469001650</v>
      </c>
      <c r="O26" s="951">
        <f t="shared" si="5"/>
        <v>469001656</v>
      </c>
      <c r="P26" s="922">
        <f>SUM(P18:P25)</f>
        <v>7771246193</v>
      </c>
      <c r="Q26" s="919">
        <f>+'[3]3. sz.Városi szintű összesen'!J20</f>
        <v>4493528544</v>
      </c>
      <c r="R26" s="886">
        <f t="shared" si="0"/>
        <v>-3277717649</v>
      </c>
    </row>
    <row r="27" spans="1:18" ht="19.5" customHeight="1">
      <c r="A27" s="911" t="s">
        <v>322</v>
      </c>
      <c r="B27" s="923" t="s">
        <v>1274</v>
      </c>
      <c r="C27" s="924" t="s">
        <v>275</v>
      </c>
      <c r="D27" s="917">
        <v>326246304</v>
      </c>
      <c r="E27" s="917">
        <v>326246304</v>
      </c>
      <c r="F27" s="917">
        <v>326246304</v>
      </c>
      <c r="G27" s="917">
        <v>326246304</v>
      </c>
      <c r="H27" s="917">
        <v>326246304</v>
      </c>
      <c r="I27" s="917">
        <v>326246304</v>
      </c>
      <c r="J27" s="917">
        <v>326246304</v>
      </c>
      <c r="K27" s="917">
        <v>326246304</v>
      </c>
      <c r="L27" s="917">
        <v>326246304</v>
      </c>
      <c r="M27" s="917">
        <v>326246304</v>
      </c>
      <c r="N27" s="917">
        <v>326246304</v>
      </c>
      <c r="O27" s="917">
        <f>326246304-4</f>
        <v>326246300</v>
      </c>
      <c r="P27" s="922">
        <f>SUM(D27:O27)</f>
        <v>3914955644</v>
      </c>
      <c r="Q27" s="919">
        <f>+'[3]3. sz.Városi szintű összesen'!J21</f>
        <v>1935466153</v>
      </c>
      <c r="R27" s="886">
        <f t="shared" si="0"/>
        <v>-1979489491</v>
      </c>
    </row>
    <row r="28" spans="1:18" ht="19.5" customHeight="1">
      <c r="A28" s="911" t="s">
        <v>323</v>
      </c>
      <c r="B28" s="925" t="s">
        <v>1275</v>
      </c>
      <c r="C28" s="926"/>
      <c r="D28" s="922">
        <f>+D26+D27</f>
        <v>795247954</v>
      </c>
      <c r="E28" s="922">
        <f aca="true" t="shared" si="6" ref="E28:O28">+E26+E27</f>
        <v>795247954</v>
      </c>
      <c r="F28" s="922">
        <f t="shared" si="6"/>
        <v>891829487</v>
      </c>
      <c r="G28" s="922">
        <f t="shared" si="6"/>
        <v>995247954</v>
      </c>
      <c r="H28" s="922">
        <f t="shared" si="6"/>
        <v>1201892808</v>
      </c>
      <c r="I28" s="922">
        <f t="shared" si="6"/>
        <v>1295247954</v>
      </c>
      <c r="J28" s="922">
        <f t="shared" si="6"/>
        <v>985247954</v>
      </c>
      <c r="K28" s="922">
        <f t="shared" si="6"/>
        <v>1445247954</v>
      </c>
      <c r="L28" s="922">
        <f t="shared" si="6"/>
        <v>895247954</v>
      </c>
      <c r="M28" s="951">
        <f t="shared" si="6"/>
        <v>795247954</v>
      </c>
      <c r="N28" s="951">
        <f t="shared" si="6"/>
        <v>795247954</v>
      </c>
      <c r="O28" s="951">
        <f t="shared" si="6"/>
        <v>795247956</v>
      </c>
      <c r="P28" s="922">
        <f>P26+P27</f>
        <v>11686201837</v>
      </c>
      <c r="Q28" s="919">
        <f>+Q26+Q27</f>
        <v>6428994697</v>
      </c>
      <c r="R28" s="886">
        <f t="shared" si="0"/>
        <v>-5257207140</v>
      </c>
    </row>
    <row r="29" spans="1:17" ht="19.5" customHeight="1">
      <c r="A29" s="911" t="s">
        <v>324</v>
      </c>
      <c r="B29" s="925" t="s">
        <v>1276</v>
      </c>
      <c r="C29" s="926"/>
      <c r="D29" s="922">
        <f>+D16-D28</f>
        <v>-145709196</v>
      </c>
      <c r="E29" s="922">
        <f aca="true" t="shared" si="7" ref="E29:O29">+E16-E28</f>
        <v>-154749196</v>
      </c>
      <c r="F29" s="922">
        <f t="shared" si="7"/>
        <v>1458669271</v>
      </c>
      <c r="G29" s="922">
        <f t="shared" si="7"/>
        <v>-354749196</v>
      </c>
      <c r="H29" s="922">
        <f t="shared" si="7"/>
        <v>-171394050</v>
      </c>
      <c r="I29" s="922">
        <f t="shared" si="7"/>
        <v>-654749196</v>
      </c>
      <c r="J29" s="922">
        <f t="shared" si="7"/>
        <v>-344749196</v>
      </c>
      <c r="K29" s="922">
        <f t="shared" si="7"/>
        <v>-796383233</v>
      </c>
      <c r="L29" s="922">
        <f t="shared" si="7"/>
        <v>1235250804</v>
      </c>
      <c r="M29" s="922">
        <f t="shared" si="7"/>
        <v>-154749196</v>
      </c>
      <c r="N29" s="922">
        <f t="shared" si="7"/>
        <v>-154749196</v>
      </c>
      <c r="O29" s="922">
        <f t="shared" si="7"/>
        <v>238061580</v>
      </c>
      <c r="P29" s="922" t="s">
        <v>835</v>
      </c>
      <c r="Q29" s="919"/>
    </row>
  </sheetData>
  <sheetProtection/>
  <mergeCells count="16">
    <mergeCell ref="A1:P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  <headerFooter>
    <oddHeader>&amp;C2019. évi költségvetés
&amp;R&amp;A</oddHeader>
    <oddFooter>&amp;C&amp;P/&amp;N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view="pageBreakPreview" zoomScale="80" zoomScaleSheetLayoutView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3" sqref="J3"/>
    </sheetView>
  </sheetViews>
  <sheetFormatPr defaultColWidth="9.00390625" defaultRowHeight="12.75"/>
  <cols>
    <col min="1" max="1" width="7.125" style="41" customWidth="1"/>
    <col min="2" max="2" width="68.375" style="41" customWidth="1"/>
    <col min="3" max="3" width="7.375" style="249" customWidth="1"/>
    <col min="4" max="4" width="16.875" style="42" customWidth="1"/>
    <col min="5" max="5" width="17.875" style="42" bestFit="1" customWidth="1"/>
    <col min="6" max="6" width="21.75390625" style="42" customWidth="1"/>
    <col min="7" max="7" width="19.00390625" style="42" customWidth="1"/>
    <col min="8" max="8" width="15.875" style="42" customWidth="1"/>
    <col min="9" max="9" width="16.75390625" style="41" customWidth="1"/>
    <col min="10" max="10" width="11.75390625" style="41" bestFit="1" customWidth="1"/>
    <col min="11" max="16384" width="9.125" style="41" customWidth="1"/>
  </cols>
  <sheetData>
    <row r="1" spans="1:8" ht="15.75">
      <c r="A1" s="376"/>
      <c r="B1" s="376"/>
      <c r="C1" s="377"/>
      <c r="D1" s="378"/>
      <c r="E1" s="378"/>
      <c r="F1" s="378"/>
      <c r="G1" s="378"/>
      <c r="H1" s="379" t="s">
        <v>541</v>
      </c>
    </row>
    <row r="2" spans="1:8" ht="36.75" customHeight="1">
      <c r="A2" s="1204" t="s">
        <v>176</v>
      </c>
      <c r="B2" s="1204"/>
      <c r="C2" s="1204"/>
      <c r="D2" s="1209" t="s">
        <v>918</v>
      </c>
      <c r="E2" s="1210"/>
      <c r="F2" s="1210"/>
      <c r="G2" s="1210"/>
      <c r="H2" s="1213"/>
    </row>
    <row r="3" spans="1:8" s="44" customFormat="1" ht="104.25" customHeight="1">
      <c r="A3" s="1203" t="s">
        <v>244</v>
      </c>
      <c r="B3" s="1204" t="s">
        <v>302</v>
      </c>
      <c r="C3" s="1204"/>
      <c r="D3" s="380" t="s">
        <v>603</v>
      </c>
      <c r="E3" s="380" t="s">
        <v>411</v>
      </c>
      <c r="F3" s="381" t="s">
        <v>412</v>
      </c>
      <c r="G3" s="380" t="s">
        <v>411</v>
      </c>
      <c r="H3" s="1205" t="s">
        <v>178</v>
      </c>
    </row>
    <row r="4" spans="1:8" s="44" customFormat="1" ht="25.5" customHeight="1">
      <c r="A4" s="1203"/>
      <c r="B4" s="1204" t="s">
        <v>12</v>
      </c>
      <c r="C4" s="1204"/>
      <c r="D4" s="380" t="s">
        <v>280</v>
      </c>
      <c r="E4" s="380" t="s">
        <v>280</v>
      </c>
      <c r="F4" s="380" t="s">
        <v>280</v>
      </c>
      <c r="G4" s="381" t="s">
        <v>280</v>
      </c>
      <c r="H4" s="1205"/>
    </row>
    <row r="5" spans="1:8" s="44" customFormat="1" ht="15.75" customHeight="1">
      <c r="A5" s="1203"/>
      <c r="B5" s="1188" t="s">
        <v>1308</v>
      </c>
      <c r="C5" s="1188"/>
      <c r="D5" s="1206" t="s">
        <v>492</v>
      </c>
      <c r="E5" s="1206" t="s">
        <v>493</v>
      </c>
      <c r="F5" s="1206" t="s">
        <v>1498</v>
      </c>
      <c r="G5" s="1207" t="s">
        <v>617</v>
      </c>
      <c r="H5" s="1205"/>
    </row>
    <row r="6" spans="1:8" ht="63.75" customHeight="1">
      <c r="A6" s="1203"/>
      <c r="B6" s="45" t="s">
        <v>245</v>
      </c>
      <c r="C6" s="248" t="s">
        <v>303</v>
      </c>
      <c r="D6" s="1206"/>
      <c r="E6" s="1206"/>
      <c r="F6" s="1206"/>
      <c r="G6" s="1208"/>
      <c r="H6" s="1205"/>
    </row>
    <row r="7" spans="1:8" ht="15.75">
      <c r="A7" s="47" t="s">
        <v>246</v>
      </c>
      <c r="B7" s="48" t="s">
        <v>247</v>
      </c>
      <c r="C7" s="48" t="s">
        <v>248</v>
      </c>
      <c r="D7" s="383" t="s">
        <v>249</v>
      </c>
      <c r="E7" s="383" t="s">
        <v>250</v>
      </c>
      <c r="F7" s="383" t="s">
        <v>251</v>
      </c>
      <c r="G7" s="383" t="s">
        <v>252</v>
      </c>
      <c r="H7" s="383" t="s">
        <v>253</v>
      </c>
    </row>
    <row r="8" spans="1:10" ht="21.75" customHeight="1">
      <c r="A8" s="49" t="s">
        <v>246</v>
      </c>
      <c r="B8" s="46" t="s">
        <v>405</v>
      </c>
      <c r="C8" s="250" t="s">
        <v>257</v>
      </c>
      <c r="D8" s="384"/>
      <c r="E8" s="384">
        <v>173727973</v>
      </c>
      <c r="F8" s="384">
        <v>11489000</v>
      </c>
      <c r="G8" s="384"/>
      <c r="H8" s="384">
        <f aca="true" t="shared" si="0" ref="H8:H14">SUM(D8:G8)</f>
        <v>185216973</v>
      </c>
      <c r="I8" s="165">
        <v>166854450</v>
      </c>
      <c r="J8" s="165">
        <f>+I8-H8</f>
        <v>-18362523</v>
      </c>
    </row>
    <row r="9" spans="1:10" ht="21.75" customHeight="1">
      <c r="A9" s="49" t="s">
        <v>247</v>
      </c>
      <c r="B9" s="51" t="s">
        <v>258</v>
      </c>
      <c r="C9" s="250" t="s">
        <v>259</v>
      </c>
      <c r="D9" s="384"/>
      <c r="E9" s="384">
        <f>34920974+2600000+100000</f>
        <v>37620974</v>
      </c>
      <c r="F9" s="384">
        <v>2297288</v>
      </c>
      <c r="G9" s="384"/>
      <c r="H9" s="384">
        <f t="shared" si="0"/>
        <v>39918262</v>
      </c>
      <c r="I9" s="165">
        <v>37578990</v>
      </c>
      <c r="J9" s="165">
        <f>+I9-H9</f>
        <v>-2339272</v>
      </c>
    </row>
    <row r="10" spans="1:10" ht="21.75" customHeight="1">
      <c r="A10" s="49" t="s">
        <v>248</v>
      </c>
      <c r="B10" s="51" t="s">
        <v>406</v>
      </c>
      <c r="C10" s="250" t="s">
        <v>260</v>
      </c>
      <c r="D10" s="384"/>
      <c r="E10" s="384">
        <f>24079000+585777</f>
        <v>24664777</v>
      </c>
      <c r="F10" s="384">
        <v>500000</v>
      </c>
      <c r="G10" s="384"/>
      <c r="H10" s="384">
        <f t="shared" si="0"/>
        <v>25164777</v>
      </c>
      <c r="J10" s="165">
        <f>SUM(J8:J9)</f>
        <v>-20701795</v>
      </c>
    </row>
    <row r="11" spans="1:8" ht="21.75" customHeight="1">
      <c r="A11" s="49" t="s">
        <v>249</v>
      </c>
      <c r="B11" s="52" t="s">
        <v>407</v>
      </c>
      <c r="C11" s="250" t="s">
        <v>261</v>
      </c>
      <c r="D11" s="384"/>
      <c r="E11" s="384"/>
      <c r="F11" s="384"/>
      <c r="G11" s="384"/>
      <c r="H11" s="384">
        <f t="shared" si="0"/>
        <v>0</v>
      </c>
    </row>
    <row r="12" spans="1:8" ht="21.75" customHeight="1">
      <c r="A12" s="49" t="s">
        <v>250</v>
      </c>
      <c r="B12" s="52" t="s">
        <v>292</v>
      </c>
      <c r="C12" s="250" t="s">
        <v>262</v>
      </c>
      <c r="D12" s="384">
        <f>SUM(D13:D15)</f>
        <v>0</v>
      </c>
      <c r="E12" s="384">
        <f>SUM(E13:E15)</f>
        <v>0</v>
      </c>
      <c r="F12" s="384">
        <f>SUM(F13:F15)</f>
        <v>0</v>
      </c>
      <c r="G12" s="384">
        <f>SUM(G13:G15)</f>
        <v>0</v>
      </c>
      <c r="H12" s="384">
        <f t="shared" si="0"/>
        <v>0</v>
      </c>
    </row>
    <row r="13" spans="1:8" ht="21.75" customHeight="1">
      <c r="A13" s="49" t="s">
        <v>251</v>
      </c>
      <c r="B13" s="53" t="s">
        <v>765</v>
      </c>
      <c r="C13" s="250"/>
      <c r="D13" s="384"/>
      <c r="E13" s="384"/>
      <c r="F13" s="384"/>
      <c r="G13" s="384"/>
      <c r="H13" s="384">
        <f t="shared" si="0"/>
        <v>0</v>
      </c>
    </row>
    <row r="14" spans="1:8" ht="21.75" customHeight="1">
      <c r="A14" s="49" t="s">
        <v>252</v>
      </c>
      <c r="B14" s="53" t="s">
        <v>767</v>
      </c>
      <c r="C14" s="251"/>
      <c r="D14" s="384"/>
      <c r="E14" s="384"/>
      <c r="F14" s="384"/>
      <c r="G14" s="384"/>
      <c r="H14" s="384">
        <f t="shared" si="0"/>
        <v>0</v>
      </c>
    </row>
    <row r="15" spans="1:8" ht="21.75" customHeight="1">
      <c r="A15" s="49" t="s">
        <v>253</v>
      </c>
      <c r="B15" s="175" t="s">
        <v>766</v>
      </c>
      <c r="C15" s="251"/>
      <c r="D15" s="384"/>
      <c r="E15" s="384"/>
      <c r="F15" s="384"/>
      <c r="G15" s="384"/>
      <c r="H15" s="384"/>
    </row>
    <row r="16" spans="1:8" ht="21.75" customHeight="1">
      <c r="A16" s="49" t="s">
        <v>254</v>
      </c>
      <c r="B16" s="55" t="s">
        <v>299</v>
      </c>
      <c r="C16" s="250" t="s">
        <v>263</v>
      </c>
      <c r="D16" s="384"/>
      <c r="E16" s="384">
        <v>500000</v>
      </c>
      <c r="F16" s="384"/>
      <c r="G16" s="384"/>
      <c r="H16" s="384">
        <f aca="true" t="shared" si="1" ref="H16:H38">SUM(D16:G16)</f>
        <v>500000</v>
      </c>
    </row>
    <row r="17" spans="1:8" ht="21.75" customHeight="1">
      <c r="A17" s="49" t="s">
        <v>255</v>
      </c>
      <c r="B17" s="52" t="s">
        <v>408</v>
      </c>
      <c r="C17" s="250" t="s">
        <v>264</v>
      </c>
      <c r="D17" s="384"/>
      <c r="E17" s="384"/>
      <c r="F17" s="384"/>
      <c r="G17" s="384"/>
      <c r="H17" s="384">
        <f t="shared" si="1"/>
        <v>0</v>
      </c>
    </row>
    <row r="18" spans="1:8" ht="21.75" customHeight="1">
      <c r="A18" s="49" t="s">
        <v>256</v>
      </c>
      <c r="B18" s="52" t="s">
        <v>293</v>
      </c>
      <c r="C18" s="250" t="s">
        <v>265</v>
      </c>
      <c r="D18" s="384"/>
      <c r="E18" s="384"/>
      <c r="F18" s="384"/>
      <c r="G18" s="384"/>
      <c r="H18" s="384">
        <f t="shared" si="1"/>
        <v>0</v>
      </c>
    </row>
    <row r="19" spans="1:8" ht="21.75" customHeight="1">
      <c r="A19" s="49" t="s">
        <v>283</v>
      </c>
      <c r="B19" s="53" t="s">
        <v>768</v>
      </c>
      <c r="C19" s="250"/>
      <c r="D19" s="384"/>
      <c r="E19" s="384"/>
      <c r="F19" s="384"/>
      <c r="G19" s="384"/>
      <c r="H19" s="384">
        <f t="shared" si="1"/>
        <v>0</v>
      </c>
    </row>
    <row r="20" spans="1:9" ht="21.75" customHeight="1">
      <c r="A20" s="49" t="s">
        <v>284</v>
      </c>
      <c r="B20" s="55" t="s">
        <v>294</v>
      </c>
      <c r="C20" s="250" t="s">
        <v>266</v>
      </c>
      <c r="D20" s="384">
        <f>+D8+D9+D10+D11+D12+D16+D17+D18+D15</f>
        <v>0</v>
      </c>
      <c r="E20" s="384">
        <f>+E8+E9+E10+E11+E12+E16+E17+E18+E15</f>
        <v>236513724</v>
      </c>
      <c r="F20" s="384">
        <f>+F8+F9+F10+F11+F12+F16+F17+F18+F15</f>
        <v>14286288</v>
      </c>
      <c r="G20" s="384">
        <f>+G8+G9+G10+G11+G12+G16+G17+G18+G15</f>
        <v>0</v>
      </c>
      <c r="H20" s="384">
        <f t="shared" si="1"/>
        <v>250800012</v>
      </c>
      <c r="I20" s="165">
        <f>H8+H9+H10+H11+H12+H16+H17+H18</f>
        <v>250800012</v>
      </c>
    </row>
    <row r="21" spans="1:8" ht="21.75" customHeight="1">
      <c r="A21" s="49" t="s">
        <v>285</v>
      </c>
      <c r="B21" s="55" t="s">
        <v>279</v>
      </c>
      <c r="C21" s="250" t="s">
        <v>275</v>
      </c>
      <c r="D21" s="384">
        <f>SUM(D22:D25)</f>
        <v>0</v>
      </c>
      <c r="E21" s="384">
        <f>SUM(E22:E25)</f>
        <v>0</v>
      </c>
      <c r="F21" s="384">
        <f>SUM(F22:F25)</f>
        <v>0</v>
      </c>
      <c r="G21" s="384">
        <f>SUM(G22:G25)</f>
        <v>0</v>
      </c>
      <c r="H21" s="384">
        <f t="shared" si="1"/>
        <v>0</v>
      </c>
    </row>
    <row r="22" spans="1:8" ht="21.75" customHeight="1">
      <c r="A22" s="49" t="s">
        <v>286</v>
      </c>
      <c r="B22" s="177" t="s">
        <v>232</v>
      </c>
      <c r="C22" s="251"/>
      <c r="D22" s="384"/>
      <c r="E22" s="384"/>
      <c r="F22" s="384"/>
      <c r="G22" s="384"/>
      <c r="H22" s="384">
        <f t="shared" si="1"/>
        <v>0</v>
      </c>
    </row>
    <row r="23" spans="1:8" ht="21.75" customHeight="1">
      <c r="A23" s="49" t="s">
        <v>287</v>
      </c>
      <c r="B23" s="56" t="s">
        <v>741</v>
      </c>
      <c r="C23" s="251"/>
      <c r="D23" s="384"/>
      <c r="E23" s="384"/>
      <c r="F23" s="384"/>
      <c r="G23" s="384"/>
      <c r="H23" s="384">
        <f t="shared" si="1"/>
        <v>0</v>
      </c>
    </row>
    <row r="24" spans="1:8" ht="21.75" customHeight="1">
      <c r="A24" s="49" t="s">
        <v>288</v>
      </c>
      <c r="B24" s="56" t="s">
        <v>742</v>
      </c>
      <c r="C24" s="251"/>
      <c r="D24" s="384"/>
      <c r="E24" s="384"/>
      <c r="F24" s="384"/>
      <c r="G24" s="384"/>
      <c r="H24" s="384">
        <f t="shared" si="1"/>
        <v>0</v>
      </c>
    </row>
    <row r="25" spans="1:8" ht="21.75" customHeight="1">
      <c r="A25" s="49" t="s">
        <v>289</v>
      </c>
      <c r="B25" s="56" t="s">
        <v>160</v>
      </c>
      <c r="C25" s="251"/>
      <c r="D25" s="384"/>
      <c r="E25" s="384"/>
      <c r="F25" s="384"/>
      <c r="G25" s="384"/>
      <c r="H25" s="384">
        <f t="shared" si="1"/>
        <v>0</v>
      </c>
    </row>
    <row r="26" spans="1:8" ht="21.75" customHeight="1">
      <c r="A26" s="49" t="s">
        <v>290</v>
      </c>
      <c r="B26" s="510" t="s">
        <v>1408</v>
      </c>
      <c r="C26" s="251"/>
      <c r="D26" s="384"/>
      <c r="E26" s="384"/>
      <c r="F26" s="384"/>
      <c r="G26" s="384"/>
      <c r="H26" s="384"/>
    </row>
    <row r="27" spans="1:8" s="58" customFormat="1" ht="21.75" customHeight="1">
      <c r="A27" s="49" t="s">
        <v>291</v>
      </c>
      <c r="B27" s="57" t="s">
        <v>33</v>
      </c>
      <c r="C27" s="250"/>
      <c r="D27" s="385">
        <f>+D8+D9+D10+D11+D12+D22+D23</f>
        <v>0</v>
      </c>
      <c r="E27" s="385">
        <f>+E8+E9+E10+E11+E12+E22+E23</f>
        <v>236013724</v>
      </c>
      <c r="F27" s="385">
        <f>+F8+F9+F10+F11+F12+F22+F23</f>
        <v>14286288</v>
      </c>
      <c r="G27" s="385">
        <f>+G8+G9+G10+G11+G12+G22+G23</f>
        <v>0</v>
      </c>
      <c r="H27" s="385">
        <f t="shared" si="1"/>
        <v>250300012</v>
      </c>
    </row>
    <row r="28" spans="1:8" s="58" customFormat="1" ht="21.75" customHeight="1">
      <c r="A28" s="49" t="s">
        <v>322</v>
      </c>
      <c r="B28" s="57" t="s">
        <v>34</v>
      </c>
      <c r="C28" s="250"/>
      <c r="D28" s="385">
        <f>+D16+D17+D18+D24+D25</f>
        <v>0</v>
      </c>
      <c r="E28" s="385">
        <f>+E16+E17+E18+E24+E25</f>
        <v>500000</v>
      </c>
      <c r="F28" s="385">
        <f>+F16+F17+F18+F24+F25</f>
        <v>0</v>
      </c>
      <c r="G28" s="385">
        <f>+G16+G17+G18+G24+G25</f>
        <v>0</v>
      </c>
      <c r="H28" s="385">
        <f t="shared" si="1"/>
        <v>500000</v>
      </c>
    </row>
    <row r="29" spans="1:8" s="58" customFormat="1" ht="21.75" customHeight="1">
      <c r="A29" s="49" t="s">
        <v>323</v>
      </c>
      <c r="B29" s="57" t="s">
        <v>398</v>
      </c>
      <c r="C29" s="250" t="s">
        <v>32</v>
      </c>
      <c r="D29" s="385">
        <f>SUM(D27:D28)</f>
        <v>0</v>
      </c>
      <c r="E29" s="385">
        <f>SUM(E27:E28)</f>
        <v>236513724</v>
      </c>
      <c r="F29" s="385">
        <f>SUM(F27:F28)</f>
        <v>14286288</v>
      </c>
      <c r="G29" s="385">
        <f>SUM(G27:G28)</f>
        <v>0</v>
      </c>
      <c r="H29" s="385">
        <f t="shared" si="1"/>
        <v>250800012</v>
      </c>
    </row>
    <row r="30" spans="1:8" ht="21.75" customHeight="1">
      <c r="A30" s="49" t="s">
        <v>324</v>
      </c>
      <c r="B30" s="51" t="s">
        <v>54</v>
      </c>
      <c r="C30" s="55" t="s">
        <v>267</v>
      </c>
      <c r="D30" s="384"/>
      <c r="E30" s="384"/>
      <c r="F30" s="384"/>
      <c r="G30" s="384"/>
      <c r="H30" s="384">
        <f t="shared" si="1"/>
        <v>0</v>
      </c>
    </row>
    <row r="31" spans="1:8" ht="21.75" customHeight="1">
      <c r="A31" s="49" t="s">
        <v>325</v>
      </c>
      <c r="B31" s="51" t="s">
        <v>278</v>
      </c>
      <c r="C31" s="55" t="s">
        <v>268</v>
      </c>
      <c r="D31" s="384"/>
      <c r="E31" s="384"/>
      <c r="F31" s="384"/>
      <c r="G31" s="384"/>
      <c r="H31" s="384">
        <f t="shared" si="1"/>
        <v>0</v>
      </c>
    </row>
    <row r="32" spans="1:8" ht="21.75" customHeight="1">
      <c r="A32" s="49" t="s">
        <v>326</v>
      </c>
      <c r="B32" s="51" t="s">
        <v>277</v>
      </c>
      <c r="C32" s="55" t="s">
        <v>269</v>
      </c>
      <c r="D32" s="384"/>
      <c r="E32" s="384"/>
      <c r="F32" s="384"/>
      <c r="G32" s="384"/>
      <c r="H32" s="384">
        <f t="shared" si="1"/>
        <v>0</v>
      </c>
    </row>
    <row r="33" spans="1:8" ht="21.75" customHeight="1">
      <c r="A33" s="49" t="s">
        <v>327</v>
      </c>
      <c r="B33" s="52" t="s">
        <v>0</v>
      </c>
      <c r="C33" s="55" t="s">
        <v>270</v>
      </c>
      <c r="D33" s="384"/>
      <c r="E33" s="384">
        <v>500000</v>
      </c>
      <c r="F33" s="384"/>
      <c r="G33" s="384"/>
      <c r="H33" s="384">
        <f t="shared" si="1"/>
        <v>500000</v>
      </c>
    </row>
    <row r="34" spans="1:8" ht="21.75" customHeight="1">
      <c r="A34" s="49" t="s">
        <v>328</v>
      </c>
      <c r="B34" s="51" t="s">
        <v>300</v>
      </c>
      <c r="C34" s="55" t="s">
        <v>271</v>
      </c>
      <c r="D34" s="384"/>
      <c r="E34" s="384"/>
      <c r="F34" s="384"/>
      <c r="G34" s="384"/>
      <c r="H34" s="384">
        <f t="shared" si="1"/>
        <v>0</v>
      </c>
    </row>
    <row r="35" spans="1:8" ht="21.75" customHeight="1">
      <c r="A35" s="49" t="s">
        <v>329</v>
      </c>
      <c r="B35" s="51" t="s">
        <v>295</v>
      </c>
      <c r="C35" s="55" t="s">
        <v>272</v>
      </c>
      <c r="D35" s="384"/>
      <c r="E35" s="384"/>
      <c r="F35" s="384"/>
      <c r="G35" s="384"/>
      <c r="H35" s="384">
        <f t="shared" si="1"/>
        <v>0</v>
      </c>
    </row>
    <row r="36" spans="1:8" ht="21.75" customHeight="1">
      <c r="A36" s="49" t="s">
        <v>330</v>
      </c>
      <c r="B36" s="51" t="s">
        <v>296</v>
      </c>
      <c r="C36" s="55" t="s">
        <v>273</v>
      </c>
      <c r="D36" s="384"/>
      <c r="E36" s="384"/>
      <c r="F36" s="384"/>
      <c r="G36" s="384"/>
      <c r="H36" s="384">
        <f t="shared" si="1"/>
        <v>0</v>
      </c>
    </row>
    <row r="37" spans="1:9" ht="21.75" customHeight="1">
      <c r="A37" s="49" t="s">
        <v>331</v>
      </c>
      <c r="B37" s="52" t="s">
        <v>297</v>
      </c>
      <c r="C37" s="55" t="s">
        <v>274</v>
      </c>
      <c r="D37" s="384">
        <f>+D30+D31+D32+D33+D34+D35+D36</f>
        <v>0</v>
      </c>
      <c r="E37" s="384">
        <f>+E30+E31+E32+E33+E34+E35+E36</f>
        <v>500000</v>
      </c>
      <c r="F37" s="384">
        <f>+F30+F31+F32+F33+F34+F35+F36</f>
        <v>0</v>
      </c>
      <c r="G37" s="384">
        <f>+G30+G31+G32+G33+G34+G35+G36</f>
        <v>0</v>
      </c>
      <c r="H37" s="384">
        <f t="shared" si="1"/>
        <v>500000</v>
      </c>
      <c r="I37" s="165">
        <f>SUM(H30:H36)</f>
        <v>500000</v>
      </c>
    </row>
    <row r="38" spans="1:8" ht="21.75" customHeight="1">
      <c r="A38" s="49" t="s">
        <v>332</v>
      </c>
      <c r="B38" s="55" t="s">
        <v>298</v>
      </c>
      <c r="C38" s="250" t="s">
        <v>276</v>
      </c>
      <c r="D38" s="384">
        <f>SUM(D40:D44)</f>
        <v>250300012</v>
      </c>
      <c r="E38" s="384">
        <f>SUM(E40:E44)</f>
        <v>0</v>
      </c>
      <c r="F38" s="384">
        <f>SUM(F40:F44)</f>
        <v>0</v>
      </c>
      <c r="G38" s="384">
        <f>SUM(G40:G44)</f>
        <v>0</v>
      </c>
      <c r="H38" s="384">
        <f t="shared" si="1"/>
        <v>250300012</v>
      </c>
    </row>
    <row r="39" spans="1:8" ht="21.75" customHeight="1">
      <c r="A39" s="49" t="s">
        <v>333</v>
      </c>
      <c r="B39" s="177" t="s">
        <v>754</v>
      </c>
      <c r="C39" s="250"/>
      <c r="D39" s="384"/>
      <c r="E39" s="384"/>
      <c r="F39" s="384"/>
      <c r="G39" s="384"/>
      <c r="H39" s="384"/>
    </row>
    <row r="40" spans="1:8" ht="21.75" customHeight="1">
      <c r="A40" s="49" t="s">
        <v>334</v>
      </c>
      <c r="B40" s="56" t="s">
        <v>713</v>
      </c>
      <c r="C40" s="251"/>
      <c r="D40" s="384"/>
      <c r="E40" s="384"/>
      <c r="F40" s="384"/>
      <c r="G40" s="384"/>
      <c r="H40" s="384">
        <f aca="true" t="shared" si="2" ref="H40:H50">SUM(D40:G40)</f>
        <v>0</v>
      </c>
    </row>
    <row r="41" spans="1:8" ht="21.75" customHeight="1">
      <c r="A41" s="49" t="s">
        <v>341</v>
      </c>
      <c r="B41" s="56" t="s">
        <v>714</v>
      </c>
      <c r="C41" s="251"/>
      <c r="D41" s="384"/>
      <c r="E41" s="384"/>
      <c r="F41" s="384"/>
      <c r="G41" s="384"/>
      <c r="H41" s="384">
        <f t="shared" si="2"/>
        <v>0</v>
      </c>
    </row>
    <row r="42" spans="1:8" ht="21.75" customHeight="1">
      <c r="A42" s="49" t="s">
        <v>342</v>
      </c>
      <c r="B42" s="56" t="s">
        <v>715</v>
      </c>
      <c r="C42" s="251"/>
      <c r="D42" s="384">
        <f>+H27-H30-H32-H33-H35-H40</f>
        <v>249800012</v>
      </c>
      <c r="E42" s="384"/>
      <c r="F42" s="384"/>
      <c r="G42" s="384"/>
      <c r="H42" s="384">
        <f t="shared" si="2"/>
        <v>249800012</v>
      </c>
    </row>
    <row r="43" spans="1:8" ht="21.75" customHeight="1">
      <c r="A43" s="49" t="s">
        <v>343</v>
      </c>
      <c r="B43" s="56" t="s">
        <v>716</v>
      </c>
      <c r="C43" s="251"/>
      <c r="D43" s="384">
        <f>+H28-H31-H34-H36-H41</f>
        <v>500000</v>
      </c>
      <c r="E43" s="384"/>
      <c r="F43" s="384"/>
      <c r="G43" s="384"/>
      <c r="H43" s="384">
        <f t="shared" si="2"/>
        <v>500000</v>
      </c>
    </row>
    <row r="44" spans="1:8" ht="21.75" customHeight="1">
      <c r="A44" s="49" t="s">
        <v>344</v>
      </c>
      <c r="B44" s="56" t="s">
        <v>769</v>
      </c>
      <c r="C44" s="251"/>
      <c r="D44" s="384"/>
      <c r="E44" s="384"/>
      <c r="F44" s="384"/>
      <c r="G44" s="384"/>
      <c r="H44" s="384">
        <f t="shared" si="2"/>
        <v>0</v>
      </c>
    </row>
    <row r="45" spans="1:8" ht="21.75" customHeight="1">
      <c r="A45" s="49" t="s">
        <v>345</v>
      </c>
      <c r="B45" s="510" t="s">
        <v>1409</v>
      </c>
      <c r="C45" s="251"/>
      <c r="D45" s="384"/>
      <c r="E45" s="384"/>
      <c r="F45" s="384"/>
      <c r="G45" s="384"/>
      <c r="H45" s="384"/>
    </row>
    <row r="46" spans="1:9" ht="21.75" customHeight="1">
      <c r="A46" s="49" t="s">
        <v>346</v>
      </c>
      <c r="B46" s="57" t="s">
        <v>145</v>
      </c>
      <c r="C46" s="250"/>
      <c r="D46" s="385">
        <f>+D30+D32+D33+D35+D40+D42</f>
        <v>249800012</v>
      </c>
      <c r="E46" s="385">
        <f>+E30+E32+E33+E35+E40+E42</f>
        <v>500000</v>
      </c>
      <c r="F46" s="385">
        <f>+F30+F32+F33+F35+F40+F42</f>
        <v>0</v>
      </c>
      <c r="G46" s="385">
        <f>+G30+G32+G33+G35+G40+G42</f>
        <v>0</v>
      </c>
      <c r="H46" s="385">
        <f t="shared" si="2"/>
        <v>250300012</v>
      </c>
      <c r="I46" s="165">
        <f>H42</f>
        <v>249800012</v>
      </c>
    </row>
    <row r="47" spans="1:8" ht="21.75" customHeight="1">
      <c r="A47" s="49" t="s">
        <v>347</v>
      </c>
      <c r="B47" s="57" t="s">
        <v>146</v>
      </c>
      <c r="C47" s="250"/>
      <c r="D47" s="385">
        <f>+D31+D34+D36+D41+D428+D44+D43</f>
        <v>500000</v>
      </c>
      <c r="E47" s="385">
        <f>+E31+E34+E36+E41+E428+E44+E43</f>
        <v>0</v>
      </c>
      <c r="F47" s="385">
        <f>+F31+F34+F36+F41+F428+F44+F43</f>
        <v>0</v>
      </c>
      <c r="G47" s="385">
        <f>+G31+G34+G36+G41+G428+G44+G43</f>
        <v>0</v>
      </c>
      <c r="H47" s="385">
        <f t="shared" si="2"/>
        <v>500000</v>
      </c>
    </row>
    <row r="48" spans="1:9" ht="21.75" customHeight="1">
      <c r="A48" s="49" t="s">
        <v>348</v>
      </c>
      <c r="B48" s="57" t="s">
        <v>399</v>
      </c>
      <c r="C48" s="250"/>
      <c r="D48" s="385">
        <f>+D46+D47</f>
        <v>250300012</v>
      </c>
      <c r="E48" s="385">
        <f>+E46+E47</f>
        <v>500000</v>
      </c>
      <c r="F48" s="385">
        <f>+F46+F47</f>
        <v>0</v>
      </c>
      <c r="G48" s="385">
        <f>+G46+G47</f>
        <v>0</v>
      </c>
      <c r="H48" s="385">
        <f t="shared" si="2"/>
        <v>250800012</v>
      </c>
      <c r="I48" s="165">
        <f>H48-H29</f>
        <v>0</v>
      </c>
    </row>
    <row r="49" spans="1:8" ht="21.75" customHeight="1">
      <c r="A49" s="49" t="s">
        <v>349</v>
      </c>
      <c r="B49" s="90" t="s">
        <v>551</v>
      </c>
      <c r="C49" s="387"/>
      <c r="D49" s="384"/>
      <c r="E49" s="384">
        <f>'12.sz.mell. Létszámtábla'!C21</f>
        <v>46</v>
      </c>
      <c r="F49" s="384">
        <f>'12.sz.mell. Létszámtábla'!C22</f>
        <v>1</v>
      </c>
      <c r="G49" s="384"/>
      <c r="H49" s="384">
        <f t="shared" si="2"/>
        <v>47</v>
      </c>
    </row>
    <row r="50" spans="1:8" ht="21.75" customHeight="1">
      <c r="A50" s="49" t="s">
        <v>350</v>
      </c>
      <c r="B50" s="90" t="s">
        <v>899</v>
      </c>
      <c r="C50" s="387"/>
      <c r="D50" s="470"/>
      <c r="E50" s="470"/>
      <c r="F50" s="470"/>
      <c r="G50" s="470"/>
      <c r="H50" s="470">
        <f t="shared" si="2"/>
        <v>0</v>
      </c>
    </row>
  </sheetData>
  <sheetProtection/>
  <mergeCells count="11">
    <mergeCell ref="G5:G6"/>
    <mergeCell ref="A2:C2"/>
    <mergeCell ref="B4:C4"/>
    <mergeCell ref="B5:C5"/>
    <mergeCell ref="A3:A6"/>
    <mergeCell ref="B3:C3"/>
    <mergeCell ref="D5:D6"/>
    <mergeCell ref="D2:H2"/>
    <mergeCell ref="H3:H6"/>
    <mergeCell ref="E5:E6"/>
    <mergeCell ref="F5:F6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200" verticalDpi="200" orientation="portrait" paperSize="9" scale="55" r:id="rId1"/>
  <headerFooter alignWithMargins="0">
    <oddHeader>&amp;C2019. évi költségvetés&amp;R&amp;A</oddHeader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83" zoomScaleSheetLayoutView="83" workbookViewId="0" topLeftCell="A1">
      <selection activeCell="B33" sqref="B33"/>
    </sheetView>
  </sheetViews>
  <sheetFormatPr defaultColWidth="9.00390625" defaultRowHeight="12.75"/>
  <cols>
    <col min="1" max="1" width="31.375" style="0" bestFit="1" customWidth="1"/>
    <col min="2" max="2" width="10.75390625" style="0" customWidth="1"/>
    <col min="3" max="3" width="12.00390625" style="0" customWidth="1"/>
    <col min="4" max="4" width="11.625" style="0" customWidth="1"/>
    <col min="7" max="7" width="11.00390625" style="0" customWidth="1"/>
    <col min="8" max="8" width="10.125" style="0" bestFit="1" customWidth="1"/>
    <col min="9" max="10" width="11.125" style="0" bestFit="1" customWidth="1"/>
  </cols>
  <sheetData>
    <row r="1" spans="1:7" ht="12.75">
      <c r="A1" s="1469" t="s">
        <v>1358</v>
      </c>
      <c r="B1" s="1469"/>
      <c r="C1" s="1469"/>
      <c r="D1" s="1469"/>
      <c r="E1" s="1469"/>
      <c r="F1" s="1469"/>
      <c r="G1" s="1469"/>
    </row>
    <row r="2" spans="1:7" ht="12.75">
      <c r="A2" s="1029"/>
      <c r="B2" s="1029"/>
      <c r="C2" s="1029"/>
      <c r="D2" s="1029"/>
      <c r="E2" s="1029"/>
      <c r="F2" s="11"/>
      <c r="G2" s="11"/>
    </row>
    <row r="3" spans="1:7" ht="48" customHeight="1">
      <c r="A3" s="1030" t="s">
        <v>1359</v>
      </c>
      <c r="B3" s="1470" t="s">
        <v>1335</v>
      </c>
      <c r="C3" s="1470"/>
      <c r="D3" s="1470"/>
      <c r="E3" s="1470"/>
      <c r="F3" s="11"/>
      <c r="G3" s="11"/>
    </row>
    <row r="4" spans="1:7" ht="13.5" thickBot="1">
      <c r="A4" s="1029"/>
      <c r="B4" s="1031"/>
      <c r="C4" s="1031"/>
      <c r="D4" s="1471"/>
      <c r="E4" s="1471"/>
      <c r="F4" s="11"/>
      <c r="G4" s="11"/>
    </row>
    <row r="5" spans="1:7" ht="17.25" customHeight="1" thickBot="1">
      <c r="A5" s="1032" t="s">
        <v>1360</v>
      </c>
      <c r="B5" s="1033" t="s">
        <v>1132</v>
      </c>
      <c r="C5" s="1033" t="s">
        <v>1108</v>
      </c>
      <c r="D5" s="1033" t="s">
        <v>1109</v>
      </c>
      <c r="E5" s="1033" t="s">
        <v>1110</v>
      </c>
      <c r="F5" s="1034" t="s">
        <v>1361</v>
      </c>
      <c r="G5" s="1035" t="s">
        <v>151</v>
      </c>
    </row>
    <row r="6" spans="1:7" ht="17.25" customHeight="1">
      <c r="A6" s="1036" t="s">
        <v>1362</v>
      </c>
      <c r="B6" s="985"/>
      <c r="C6" s="985"/>
      <c r="D6" s="985"/>
      <c r="E6" s="985"/>
      <c r="F6" s="1037"/>
      <c r="G6" s="1038">
        <f aca="true" t="shared" si="0" ref="G6:G11">SUM(B6:F6)</f>
        <v>0</v>
      </c>
    </row>
    <row r="7" spans="1:7" ht="17.25" customHeight="1">
      <c r="A7" s="1039" t="s">
        <v>1363</v>
      </c>
      <c r="B7" s="986"/>
      <c r="C7" s="986"/>
      <c r="D7" s="986"/>
      <c r="E7" s="986"/>
      <c r="F7" s="1040"/>
      <c r="G7" s="1041">
        <f t="shared" si="0"/>
        <v>0</v>
      </c>
    </row>
    <row r="8" spans="1:7" ht="17.25" customHeight="1">
      <c r="A8" s="1042" t="s">
        <v>1364</v>
      </c>
      <c r="B8" s="987"/>
      <c r="C8" s="987">
        <v>369494188</v>
      </c>
      <c r="D8" s="987">
        <f>17437066+10977934</f>
        <v>28415000</v>
      </c>
      <c r="E8" s="987"/>
      <c r="F8" s="1043"/>
      <c r="G8" s="1041">
        <f t="shared" si="0"/>
        <v>397909188</v>
      </c>
    </row>
    <row r="9" spans="1:7" ht="17.25" customHeight="1">
      <c r="A9" s="1042" t="s">
        <v>1365</v>
      </c>
      <c r="B9" s="987"/>
      <c r="C9" s="987"/>
      <c r="D9" s="987"/>
      <c r="E9" s="987"/>
      <c r="F9" s="1043"/>
      <c r="G9" s="1041">
        <f t="shared" si="0"/>
        <v>0</v>
      </c>
    </row>
    <row r="10" spans="1:7" ht="17.25" customHeight="1">
      <c r="A10" s="1042" t="s">
        <v>1366</v>
      </c>
      <c r="B10" s="987"/>
      <c r="C10" s="987"/>
      <c r="D10" s="987"/>
      <c r="E10" s="987"/>
      <c r="F10" s="1043"/>
      <c r="G10" s="1041">
        <f t="shared" si="0"/>
        <v>0</v>
      </c>
    </row>
    <row r="11" spans="1:7" ht="17.25" customHeight="1" thickBot="1">
      <c r="A11" s="1042" t="s">
        <v>1367</v>
      </c>
      <c r="B11" s="987"/>
      <c r="C11" s="987"/>
      <c r="D11" s="987">
        <v>160020</v>
      </c>
      <c r="E11" s="987"/>
      <c r="F11" s="1043"/>
      <c r="G11" s="1041">
        <f t="shared" si="0"/>
        <v>160020</v>
      </c>
    </row>
    <row r="12" spans="1:7" ht="17.25" customHeight="1" thickBot="1">
      <c r="A12" s="1044" t="s">
        <v>1368</v>
      </c>
      <c r="B12" s="1045">
        <f aca="true" t="shared" si="1" ref="B12:G12">SUM(B6:B11)</f>
        <v>0</v>
      </c>
      <c r="C12" s="1045">
        <f t="shared" si="1"/>
        <v>369494188</v>
      </c>
      <c r="D12" s="1045">
        <f t="shared" si="1"/>
        <v>28575020</v>
      </c>
      <c r="E12" s="1045">
        <f t="shared" si="1"/>
        <v>0</v>
      </c>
      <c r="F12" s="1046">
        <f t="shared" si="1"/>
        <v>0</v>
      </c>
      <c r="G12" s="1047">
        <f t="shared" si="1"/>
        <v>398069208</v>
      </c>
    </row>
    <row r="13" spans="1:7" ht="17.25" customHeight="1" thickBot="1">
      <c r="A13" s="1048"/>
      <c r="B13" s="1049"/>
      <c r="C13" s="1049"/>
      <c r="D13" s="1049"/>
      <c r="E13" s="1049"/>
      <c r="F13" s="11"/>
      <c r="G13" s="11"/>
    </row>
    <row r="14" spans="1:7" ht="17.25" customHeight="1" thickBot="1">
      <c r="A14" s="1032" t="s">
        <v>1369</v>
      </c>
      <c r="B14" s="1033" t="s">
        <v>1132</v>
      </c>
      <c r="C14" s="1033" t="s">
        <v>1108</v>
      </c>
      <c r="D14" s="1033" t="s">
        <v>1109</v>
      </c>
      <c r="E14" s="1033" t="s">
        <v>1110</v>
      </c>
      <c r="F14" s="1034" t="s">
        <v>1361</v>
      </c>
      <c r="G14" s="1035" t="s">
        <v>151</v>
      </c>
    </row>
    <row r="15" spans="1:7" ht="17.25" customHeight="1">
      <c r="A15" s="1036" t="s">
        <v>1370</v>
      </c>
      <c r="B15" s="985">
        <v>174110</v>
      </c>
      <c r="C15" s="985">
        <f>98116+58918</f>
        <v>157034</v>
      </c>
      <c r="D15" s="985">
        <f>1363379+223476</f>
        <v>1586855</v>
      </c>
      <c r="E15" s="985"/>
      <c r="F15" s="1037"/>
      <c r="G15" s="1038">
        <f>+B15+C15+D15+E15+F15</f>
        <v>1917999</v>
      </c>
    </row>
    <row r="16" spans="1:7" ht="17.25" customHeight="1">
      <c r="A16" s="1050" t="s">
        <v>1371</v>
      </c>
      <c r="B16" s="986">
        <v>3937000</v>
      </c>
      <c r="C16" s="986">
        <v>12125706</v>
      </c>
      <c r="D16" s="987">
        <v>247339828</v>
      </c>
      <c r="E16" s="987">
        <f>62550811-363324</f>
        <v>62187487</v>
      </c>
      <c r="F16" s="1043"/>
      <c r="G16" s="1041">
        <f>+B16+C16+D16+E16+F16</f>
        <v>325590021</v>
      </c>
    </row>
    <row r="17" spans="1:10" ht="17.25" customHeight="1" thickBot="1">
      <c r="A17" s="1042" t="s">
        <v>1372</v>
      </c>
      <c r="B17" s="987">
        <v>999998</v>
      </c>
      <c r="C17" s="987">
        <v>2928430</v>
      </c>
      <c r="D17" s="987">
        <f>55063500+11569260</f>
        <v>66632760</v>
      </c>
      <c r="E17" s="987"/>
      <c r="F17" s="1043"/>
      <c r="G17" s="1041">
        <f>+B17+C17+D17+E17+F17</f>
        <v>70561188</v>
      </c>
      <c r="J17">
        <v>62550811</v>
      </c>
    </row>
    <row r="18" spans="1:10" ht="17.25" customHeight="1" thickBot="1">
      <c r="A18" s="1044" t="s">
        <v>1053</v>
      </c>
      <c r="B18" s="1045">
        <f aca="true" t="shared" si="2" ref="B18:G18">SUM(B15:B17)</f>
        <v>5111108</v>
      </c>
      <c r="C18" s="1045">
        <f t="shared" si="2"/>
        <v>15211170</v>
      </c>
      <c r="D18" s="1045">
        <f t="shared" si="2"/>
        <v>315559443</v>
      </c>
      <c r="E18" s="1045">
        <f t="shared" si="2"/>
        <v>62187487</v>
      </c>
      <c r="F18" s="1045">
        <f t="shared" si="2"/>
        <v>0</v>
      </c>
      <c r="G18" s="1051">
        <f t="shared" si="2"/>
        <v>398069208</v>
      </c>
      <c r="H18" s="988">
        <f>+G12-G18</f>
        <v>0</v>
      </c>
      <c r="J18" s="886">
        <f>+J17-H18</f>
        <v>62550811</v>
      </c>
    </row>
    <row r="19" spans="1:10" ht="12.75">
      <c r="A19" s="1029"/>
      <c r="B19" s="1031"/>
      <c r="C19" s="1052"/>
      <c r="D19" s="1031"/>
      <c r="E19" s="1031"/>
      <c r="F19" s="592"/>
      <c r="G19" s="592"/>
      <c r="H19" s="945"/>
      <c r="I19" s="886"/>
      <c r="J19" s="886">
        <f>+J18-430050</f>
        <v>62120761</v>
      </c>
    </row>
    <row r="20" spans="1:7" ht="12.75">
      <c r="A20" s="1029"/>
      <c r="B20" s="1031"/>
      <c r="C20" s="1031"/>
      <c r="D20" s="1031"/>
      <c r="E20" s="1031"/>
      <c r="F20" s="11"/>
      <c r="G20" s="11"/>
    </row>
    <row r="21" spans="1:7" ht="48.75" customHeight="1">
      <c r="A21" s="1030" t="s">
        <v>1359</v>
      </c>
      <c r="B21" s="1470" t="s">
        <v>1373</v>
      </c>
      <c r="C21" s="1470"/>
      <c r="D21" s="1470"/>
      <c r="E21" s="1470"/>
      <c r="F21" s="11"/>
      <c r="G21" s="11"/>
    </row>
    <row r="22" spans="1:7" ht="13.5" thickBot="1">
      <c r="A22" s="1029"/>
      <c r="B22" s="1031"/>
      <c r="C22" s="1031"/>
      <c r="D22" s="1471"/>
      <c r="E22" s="1471"/>
      <c r="F22" s="11"/>
      <c r="G22" s="11"/>
    </row>
    <row r="23" spans="1:7" ht="18.75" customHeight="1" thickBot="1">
      <c r="A23" s="1032" t="s">
        <v>1360</v>
      </c>
      <c r="B23" s="1034" t="s">
        <v>1108</v>
      </c>
      <c r="C23" s="1034" t="s">
        <v>1109</v>
      </c>
      <c r="D23" s="1034" t="s">
        <v>1110</v>
      </c>
      <c r="E23" s="1034" t="s">
        <v>1361</v>
      </c>
      <c r="F23" s="1035" t="s">
        <v>151</v>
      </c>
      <c r="G23" s="11"/>
    </row>
    <row r="24" spans="1:7" ht="18.75" customHeight="1">
      <c r="A24" s="1036" t="s">
        <v>1362</v>
      </c>
      <c r="B24" s="1037"/>
      <c r="C24" s="1037"/>
      <c r="D24" s="1037"/>
      <c r="E24" s="1037"/>
      <c r="F24" s="1053">
        <f aca="true" t="shared" si="3" ref="F24:F29">+B24+C24+D24+E24</f>
        <v>0</v>
      </c>
      <c r="G24" s="11"/>
    </row>
    <row r="25" spans="1:7" ht="18.75" customHeight="1">
      <c r="A25" s="1039" t="s">
        <v>1363</v>
      </c>
      <c r="B25" s="1040"/>
      <c r="C25" s="1040"/>
      <c r="D25" s="1040"/>
      <c r="E25" s="1040"/>
      <c r="F25" s="1054">
        <f t="shared" si="3"/>
        <v>0</v>
      </c>
      <c r="G25" s="11"/>
    </row>
    <row r="26" spans="1:7" ht="18.75" customHeight="1">
      <c r="A26" s="1042" t="s">
        <v>1364</v>
      </c>
      <c r="B26" s="1043">
        <v>9000000</v>
      </c>
      <c r="C26" s="1043">
        <v>0</v>
      </c>
      <c r="D26" s="1043"/>
      <c r="E26" s="1043"/>
      <c r="F26" s="1054">
        <f t="shared" si="3"/>
        <v>9000000</v>
      </c>
      <c r="G26" s="11"/>
    </row>
    <row r="27" spans="1:7" ht="18.75" customHeight="1">
      <c r="A27" s="1042" t="s">
        <v>1365</v>
      </c>
      <c r="B27" s="1043"/>
      <c r="C27" s="1043"/>
      <c r="D27" s="1043"/>
      <c r="E27" s="1043"/>
      <c r="F27" s="1054">
        <f t="shared" si="3"/>
        <v>0</v>
      </c>
      <c r="G27" s="11"/>
    </row>
    <row r="28" spans="1:7" ht="18.75" customHeight="1">
      <c r="A28" s="1042" t="s">
        <v>1366</v>
      </c>
      <c r="B28" s="1043"/>
      <c r="C28" s="1043"/>
      <c r="D28" s="1043"/>
      <c r="E28" s="1043"/>
      <c r="F28" s="1054">
        <f t="shared" si="3"/>
        <v>0</v>
      </c>
      <c r="G28" s="11"/>
    </row>
    <row r="29" spans="1:7" ht="18.75" customHeight="1" thickBot="1">
      <c r="A29" s="1042" t="s">
        <v>1367</v>
      </c>
      <c r="B29" s="1043"/>
      <c r="C29" s="1043"/>
      <c r="D29" s="1043"/>
      <c r="E29" s="1043"/>
      <c r="F29" s="1054">
        <f t="shared" si="3"/>
        <v>0</v>
      </c>
      <c r="G29" s="11"/>
    </row>
    <row r="30" spans="1:7" ht="18.75" customHeight="1" thickBot="1">
      <c r="A30" s="1044" t="s">
        <v>1368</v>
      </c>
      <c r="B30" s="1046">
        <f>SUM(B24:B29)</f>
        <v>9000000</v>
      </c>
      <c r="C30" s="1046">
        <f>SUM(C24:C29)</f>
        <v>0</v>
      </c>
      <c r="D30" s="1046">
        <f>SUM(D24:D29)</f>
        <v>0</v>
      </c>
      <c r="E30" s="1046">
        <f>SUM(E24:E29)</f>
        <v>0</v>
      </c>
      <c r="F30" s="1047">
        <f>SUM(F24:F29)</f>
        <v>9000000</v>
      </c>
      <c r="G30" s="11"/>
    </row>
    <row r="31" spans="1:7" ht="18.75" customHeight="1" thickBot="1">
      <c r="A31" s="1048"/>
      <c r="B31" s="1048"/>
      <c r="C31" s="1048"/>
      <c r="D31" s="1048"/>
      <c r="E31" s="1048"/>
      <c r="F31" s="11"/>
      <c r="G31" s="11"/>
    </row>
    <row r="32" spans="1:7" ht="18.75" customHeight="1" thickBot="1">
      <c r="A32" s="1032" t="s">
        <v>1369</v>
      </c>
      <c r="B32" s="1034" t="s">
        <v>1108</v>
      </c>
      <c r="C32" s="1034" t="s">
        <v>1109</v>
      </c>
      <c r="D32" s="1034" t="s">
        <v>1110</v>
      </c>
      <c r="E32" s="1034" t="s">
        <v>1361</v>
      </c>
      <c r="F32" s="1035" t="s">
        <v>151</v>
      </c>
      <c r="G32" s="11"/>
    </row>
    <row r="33" spans="1:7" ht="18.75" customHeight="1">
      <c r="A33" s="1036" t="s">
        <v>1370</v>
      </c>
      <c r="B33" s="1037"/>
      <c r="C33" s="1037"/>
      <c r="D33" s="1037"/>
      <c r="E33" s="1037"/>
      <c r="F33" s="1053">
        <f>+B33+C33+D33+E33</f>
        <v>0</v>
      </c>
      <c r="G33" s="11"/>
    </row>
    <row r="34" spans="1:7" ht="18.75" customHeight="1">
      <c r="A34" s="1050" t="s">
        <v>1371</v>
      </c>
      <c r="B34" s="1040"/>
      <c r="C34" s="1040">
        <v>2160000</v>
      </c>
      <c r="D34" s="1043">
        <v>6840000</v>
      </c>
      <c r="E34" s="1043"/>
      <c r="F34" s="1055">
        <f>+B34+C34+D34+E34</f>
        <v>9000000</v>
      </c>
      <c r="G34" s="11"/>
    </row>
    <row r="35" spans="1:7" ht="18.75" customHeight="1">
      <c r="A35" s="1042" t="s">
        <v>1372</v>
      </c>
      <c r="B35" s="1043"/>
      <c r="C35" s="1043"/>
      <c r="D35" s="1043"/>
      <c r="E35" s="1043"/>
      <c r="F35" s="1055">
        <f>+B35+C35+D35+E35</f>
        <v>0</v>
      </c>
      <c r="G35" s="11"/>
    </row>
    <row r="36" spans="1:7" ht="18.75" customHeight="1" thickBot="1">
      <c r="A36" s="1042" t="s">
        <v>1374</v>
      </c>
      <c r="B36" s="1043"/>
      <c r="C36" s="1043"/>
      <c r="D36" s="1043"/>
      <c r="E36" s="1043"/>
      <c r="F36" s="1055">
        <f>+B36+C36+D36+E36</f>
        <v>0</v>
      </c>
      <c r="G36" s="11"/>
    </row>
    <row r="37" spans="1:8" ht="18.75" customHeight="1" thickBot="1">
      <c r="A37" s="1044" t="s">
        <v>1053</v>
      </c>
      <c r="B37" s="1046">
        <f>SUM(B33:B36)</f>
        <v>0</v>
      </c>
      <c r="C37" s="1046">
        <f>SUM(C33:C36)</f>
        <v>2160000</v>
      </c>
      <c r="D37" s="1046">
        <f>SUM(D33:D36)</f>
        <v>6840000</v>
      </c>
      <c r="E37" s="1046">
        <f>SUM(E33:E36)</f>
        <v>0</v>
      </c>
      <c r="F37" s="1047">
        <f>SUM(F33:F36)</f>
        <v>9000000</v>
      </c>
      <c r="G37" s="11"/>
      <c r="H37" s="886"/>
    </row>
    <row r="38" spans="1:5" ht="12.75">
      <c r="A38" s="1056"/>
      <c r="B38" s="1056"/>
      <c r="C38" s="1057"/>
      <c r="D38" s="1056"/>
      <c r="E38" s="1056"/>
    </row>
  </sheetData>
  <sheetProtection/>
  <mergeCells count="5">
    <mergeCell ref="A1:G1"/>
    <mergeCell ref="B3:E3"/>
    <mergeCell ref="D4:E4"/>
    <mergeCell ref="B21:E21"/>
    <mergeCell ref="D22:E2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3" r:id="rId1"/>
  <headerFooter>
    <oddHeader>&amp;C2019. évi költségvetés
&amp;R&amp;A</oddHeader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5.00390625" style="0" customWidth="1"/>
    <col min="2" max="2" width="28.875" style="0" customWidth="1"/>
    <col min="3" max="3" width="26.00390625" style="0" customWidth="1"/>
    <col min="4" max="4" width="16.75390625" style="0" customWidth="1"/>
    <col min="5" max="5" width="16.625" style="0" customWidth="1"/>
    <col min="6" max="6" width="16.375" style="0" customWidth="1"/>
    <col min="9" max="9" width="9.625" style="0" bestFit="1" customWidth="1"/>
    <col min="10" max="10" width="10.125" style="0" bestFit="1" customWidth="1"/>
  </cols>
  <sheetData>
    <row r="1" spans="1:6" ht="15.75">
      <c r="A1" s="1472" t="s">
        <v>1375</v>
      </c>
      <c r="B1" s="1472"/>
      <c r="C1" s="1472"/>
      <c r="D1" s="1472"/>
      <c r="E1" s="1472"/>
      <c r="F1" s="1472"/>
    </row>
    <row r="2" spans="1:6" ht="13.5" thickBot="1">
      <c r="A2" s="11"/>
      <c r="B2" s="11"/>
      <c r="C2" s="11"/>
      <c r="D2" s="11"/>
      <c r="E2" s="11"/>
      <c r="F2" s="11"/>
    </row>
    <row r="3" spans="1:6" ht="25.5">
      <c r="A3" s="989"/>
      <c r="B3" s="990" t="s">
        <v>1376</v>
      </c>
      <c r="C3" s="990" t="s">
        <v>1377</v>
      </c>
      <c r="D3" s="990" t="s">
        <v>1378</v>
      </c>
      <c r="E3" s="990" t="s">
        <v>1459</v>
      </c>
      <c r="F3" s="991" t="s">
        <v>1481</v>
      </c>
    </row>
    <row r="4" spans="1:6" ht="71.25" customHeight="1">
      <c r="A4" s="992" t="s">
        <v>246</v>
      </c>
      <c r="B4" s="25" t="s">
        <v>1380</v>
      </c>
      <c r="C4" s="993" t="s">
        <v>1379</v>
      </c>
      <c r="D4" s="994">
        <v>150000000</v>
      </c>
      <c r="E4" s="994">
        <v>150000000</v>
      </c>
      <c r="F4" s="995">
        <v>0</v>
      </c>
    </row>
    <row r="5" spans="1:6" ht="71.25" customHeight="1">
      <c r="A5" s="992" t="s">
        <v>247</v>
      </c>
      <c r="B5" s="25" t="s">
        <v>1460</v>
      </c>
      <c r="C5" s="993" t="s">
        <v>1379</v>
      </c>
      <c r="D5" s="994">
        <v>167235060</v>
      </c>
      <c r="E5" s="994">
        <v>125426295</v>
      </c>
      <c r="F5" s="995">
        <f>+D5-E5</f>
        <v>41808765</v>
      </c>
    </row>
    <row r="6" spans="1:6" ht="71.25" customHeight="1">
      <c r="A6" s="992" t="s">
        <v>248</v>
      </c>
      <c r="B6" s="25" t="s">
        <v>1461</v>
      </c>
      <c r="C6" s="993" t="s">
        <v>1462</v>
      </c>
      <c r="D6" s="994">
        <v>294598883</v>
      </c>
      <c r="E6" s="994">
        <v>220949160</v>
      </c>
      <c r="F6" s="995">
        <f>+D6-E6</f>
        <v>73649723</v>
      </c>
    </row>
    <row r="7" spans="1:6" ht="71.25" customHeight="1">
      <c r="A7" s="992" t="s">
        <v>249</v>
      </c>
      <c r="B7" s="25" t="s">
        <v>1463</v>
      </c>
      <c r="C7" s="993" t="s">
        <v>1462</v>
      </c>
      <c r="D7" s="994">
        <v>44029765</v>
      </c>
      <c r="E7" s="994">
        <v>24216370</v>
      </c>
      <c r="F7" s="995">
        <f>+D7-E7</f>
        <v>19813395</v>
      </c>
    </row>
    <row r="8" spans="1:6" ht="71.25" customHeight="1">
      <c r="A8" s="992" t="s">
        <v>250</v>
      </c>
      <c r="B8" s="1008" t="s">
        <v>1464</v>
      </c>
      <c r="C8" s="1058" t="s">
        <v>1462</v>
      </c>
      <c r="D8" s="1059">
        <v>93094080</v>
      </c>
      <c r="E8" s="994">
        <v>0</v>
      </c>
      <c r="F8" s="1159">
        <f>+D8-E8</f>
        <v>93094080</v>
      </c>
    </row>
    <row r="9" spans="1:6" ht="41.25" customHeight="1" thickBot="1">
      <c r="A9" s="996" t="s">
        <v>251</v>
      </c>
      <c r="B9" s="997" t="s">
        <v>1483</v>
      </c>
      <c r="C9" s="998" t="s">
        <v>1482</v>
      </c>
      <c r="D9" s="999">
        <v>3322756</v>
      </c>
      <c r="E9" s="1160">
        <v>3322756</v>
      </c>
      <c r="F9" s="1000">
        <v>0</v>
      </c>
    </row>
    <row r="10" spans="1:6" ht="24" customHeight="1" thickBot="1">
      <c r="A10" s="1473" t="s">
        <v>1238</v>
      </c>
      <c r="B10" s="1474"/>
      <c r="C10" s="1156"/>
      <c r="D10" s="1157"/>
      <c r="E10" s="1157"/>
      <c r="F10" s="1158">
        <f>SUM(F4:F9)</f>
        <v>228365963</v>
      </c>
    </row>
    <row r="11" spans="1:6" ht="12.75">
      <c r="A11" s="1001"/>
      <c r="B11" s="1002"/>
      <c r="C11" s="1003"/>
      <c r="D11" s="1004"/>
      <c r="E11" s="1004"/>
      <c r="F11" s="1004"/>
    </row>
    <row r="12" spans="1:6" ht="12.75">
      <c r="A12" s="1001"/>
      <c r="B12" s="1002"/>
      <c r="C12" s="1003"/>
      <c r="D12" s="1004"/>
      <c r="E12" s="1004"/>
      <c r="F12" s="1004"/>
    </row>
    <row r="13" spans="1:6" ht="12.75">
      <c r="A13" s="1001"/>
      <c r="B13" s="1002"/>
      <c r="C13" s="1003"/>
      <c r="D13" s="1004"/>
      <c r="E13" s="1004"/>
      <c r="F13" s="1004"/>
    </row>
    <row r="14" spans="1:6" ht="12.75">
      <c r="A14" s="1001"/>
      <c r="B14" s="1002"/>
      <c r="C14" s="1003"/>
      <c r="D14" s="1004"/>
      <c r="E14" s="1004"/>
      <c r="F14" s="1004"/>
    </row>
    <row r="15" spans="1:6" ht="12.75">
      <c r="A15" s="1001"/>
      <c r="B15" s="1002"/>
      <c r="C15" s="1003"/>
      <c r="D15" s="1004"/>
      <c r="E15" s="1004"/>
      <c r="F15" s="1004"/>
    </row>
    <row r="16" spans="1:6" ht="12.75">
      <c r="A16" s="1001"/>
      <c r="B16" s="1002"/>
      <c r="C16" s="1003"/>
      <c r="D16" s="1004"/>
      <c r="E16" s="1004"/>
      <c r="F16" s="1004"/>
    </row>
    <row r="17" spans="1:6" ht="12.75">
      <c r="A17" s="1001"/>
      <c r="B17" s="1002"/>
      <c r="C17" s="1003"/>
      <c r="D17" s="1004"/>
      <c r="E17" s="1004"/>
      <c r="F17" s="1004"/>
    </row>
    <row r="18" spans="1:6" ht="12.75">
      <c r="A18" s="1001"/>
      <c r="B18" s="1002"/>
      <c r="C18" s="1003"/>
      <c r="D18" s="1004"/>
      <c r="E18" s="1004"/>
      <c r="F18" s="1004"/>
    </row>
    <row r="19" spans="1:6" ht="12.75">
      <c r="A19" s="1001"/>
      <c r="D19" s="1005"/>
      <c r="E19" s="1005"/>
      <c r="F19" s="1005"/>
    </row>
    <row r="20" spans="1:6" ht="12.75">
      <c r="A20" s="1006"/>
      <c r="D20" s="1005"/>
      <c r="E20" s="1005"/>
      <c r="F20" s="1005"/>
    </row>
    <row r="21" spans="1:6" ht="12.75">
      <c r="A21" s="1006"/>
      <c r="D21" s="1005"/>
      <c r="E21" s="1005"/>
      <c r="F21" s="1005"/>
    </row>
    <row r="22" spans="1:6" ht="12.75">
      <c r="A22" s="1006"/>
      <c r="D22" s="1005"/>
      <c r="E22" s="1005"/>
      <c r="F22" s="1005"/>
    </row>
    <row r="23" spans="1:6" ht="12.75">
      <c r="A23" s="1006"/>
      <c r="D23" s="1005"/>
      <c r="E23" s="1005"/>
      <c r="F23" s="1005"/>
    </row>
    <row r="24" spans="4:6" ht="12.75">
      <c r="D24" s="1005"/>
      <c r="E24" s="1005"/>
      <c r="F24" s="1005"/>
    </row>
    <row r="25" spans="4:6" ht="12.75">
      <c r="D25" s="1005"/>
      <c r="E25" s="1005"/>
      <c r="F25" s="1005"/>
    </row>
    <row r="26" spans="4:6" ht="12.75">
      <c r="D26" s="1005"/>
      <c r="E26" s="1005"/>
      <c r="F26" s="1005"/>
    </row>
    <row r="27" spans="4:6" ht="12.75">
      <c r="D27" s="1005"/>
      <c r="E27" s="1005"/>
      <c r="F27" s="1005"/>
    </row>
    <row r="28" spans="4:6" ht="12.75">
      <c r="D28" s="1005"/>
      <c r="E28" s="1005"/>
      <c r="F28" s="1005"/>
    </row>
    <row r="29" spans="4:6" ht="12.75">
      <c r="D29" s="1005"/>
      <c r="E29" s="1005"/>
      <c r="F29" s="1005"/>
    </row>
    <row r="30" spans="4:6" ht="12.75">
      <c r="D30" s="1005"/>
      <c r="E30" s="1005"/>
      <c r="F30" s="1005"/>
    </row>
    <row r="31" spans="4:6" ht="12.75">
      <c r="D31" s="1005"/>
      <c r="E31" s="1005"/>
      <c r="F31" s="1005"/>
    </row>
    <row r="32" spans="4:6" ht="12.75">
      <c r="D32" s="1005"/>
      <c r="E32" s="1005"/>
      <c r="F32" s="1005"/>
    </row>
    <row r="33" spans="4:6" ht="12.75">
      <c r="D33" s="1005"/>
      <c r="E33" s="1005"/>
      <c r="F33" s="1005"/>
    </row>
    <row r="34" spans="4:6" ht="12.75">
      <c r="D34" s="1005"/>
      <c r="E34" s="1005"/>
      <c r="F34" s="1005"/>
    </row>
    <row r="35" spans="4:6" ht="12.75">
      <c r="D35" s="1005"/>
      <c r="E35" s="1005"/>
      <c r="F35" s="1005"/>
    </row>
    <row r="36" spans="4:6" ht="12.75">
      <c r="D36" s="1005"/>
      <c r="E36" s="1005"/>
      <c r="F36" s="1005"/>
    </row>
    <row r="37" spans="4:6" ht="12.75">
      <c r="D37" s="1005"/>
      <c r="E37" s="1005"/>
      <c r="F37" s="1005"/>
    </row>
    <row r="38" spans="4:6" ht="12.75">
      <c r="D38" s="1005"/>
      <c r="E38" s="1005"/>
      <c r="F38" s="1005"/>
    </row>
    <row r="39" spans="4:6" ht="12.75">
      <c r="D39" s="1005"/>
      <c r="E39" s="1005"/>
      <c r="F39" s="1005"/>
    </row>
  </sheetData>
  <sheetProtection/>
  <mergeCells count="2">
    <mergeCell ref="A1:F1"/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&amp;C2019. évi költségvetés
&amp;R&amp;A
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view="pageBreakPreview" zoomScale="81" zoomScaleSheetLayoutView="8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7.00390625" style="41" customWidth="1"/>
    <col min="2" max="2" width="64.875" style="41" customWidth="1"/>
    <col min="3" max="3" width="7.00390625" style="247" customWidth="1"/>
    <col min="4" max="4" width="17.375" style="42" customWidth="1"/>
    <col min="5" max="5" width="17.875" style="42" customWidth="1"/>
    <col min="6" max="6" width="17.125" style="42" customWidth="1"/>
    <col min="7" max="7" width="22.00390625" style="42" customWidth="1"/>
    <col min="8" max="8" width="22.875" style="42" customWidth="1"/>
    <col min="9" max="9" width="15.625" style="42" customWidth="1"/>
    <col min="10" max="10" width="16.625" style="41" customWidth="1"/>
    <col min="11" max="11" width="14.25390625" style="41" customWidth="1"/>
    <col min="12" max="16384" width="9.125" style="41" customWidth="1"/>
  </cols>
  <sheetData>
    <row r="1" spans="1:9" ht="15.75">
      <c r="A1" s="376"/>
      <c r="B1" s="376"/>
      <c r="C1" s="388"/>
      <c r="D1" s="378"/>
      <c r="E1" s="378"/>
      <c r="F1" s="378"/>
      <c r="G1" s="378"/>
      <c r="H1" s="378"/>
      <c r="I1" s="379" t="s">
        <v>541</v>
      </c>
    </row>
    <row r="2" spans="1:9" ht="39.75" customHeight="1">
      <c r="A2" s="1204" t="s">
        <v>176</v>
      </c>
      <c r="B2" s="1204"/>
      <c r="C2" s="1204"/>
      <c r="D2" s="1209" t="s">
        <v>919</v>
      </c>
      <c r="E2" s="1210"/>
      <c r="F2" s="1210"/>
      <c r="G2" s="1210"/>
      <c r="H2" s="1210"/>
      <c r="I2" s="1213"/>
    </row>
    <row r="3" spans="1:9" s="44" customFormat="1" ht="90" customHeight="1">
      <c r="A3" s="1203" t="s">
        <v>244</v>
      </c>
      <c r="B3" s="1204" t="s">
        <v>302</v>
      </c>
      <c r="C3" s="1204"/>
      <c r="D3" s="380" t="s">
        <v>594</v>
      </c>
      <c r="E3" s="381" t="s">
        <v>595</v>
      </c>
      <c r="F3" s="381" t="s">
        <v>596</v>
      </c>
      <c r="G3" s="381" t="s">
        <v>413</v>
      </c>
      <c r="H3" s="381" t="s">
        <v>595</v>
      </c>
      <c r="I3" s="1205" t="s">
        <v>178</v>
      </c>
    </row>
    <row r="4" spans="1:9" s="44" customFormat="1" ht="25.5" customHeight="1">
      <c r="A4" s="1203"/>
      <c r="B4" s="1204" t="s">
        <v>12</v>
      </c>
      <c r="C4" s="1204"/>
      <c r="D4" s="380" t="s">
        <v>280</v>
      </c>
      <c r="E4" s="380" t="s">
        <v>280</v>
      </c>
      <c r="F4" s="380" t="s">
        <v>280</v>
      </c>
      <c r="G4" s="380" t="s">
        <v>280</v>
      </c>
      <c r="H4" s="380" t="s">
        <v>280</v>
      </c>
      <c r="I4" s="1205"/>
    </row>
    <row r="5" spans="1:9" s="44" customFormat="1" ht="15.75" customHeight="1">
      <c r="A5" s="1203"/>
      <c r="B5" s="1188" t="s">
        <v>1308</v>
      </c>
      <c r="C5" s="1188"/>
      <c r="D5" s="1206" t="s">
        <v>489</v>
      </c>
      <c r="E5" s="1206" t="s">
        <v>490</v>
      </c>
      <c r="F5" s="1206" t="s">
        <v>491</v>
      </c>
      <c r="G5" s="1206" t="s">
        <v>509</v>
      </c>
      <c r="H5" s="1206" t="s">
        <v>854</v>
      </c>
      <c r="I5" s="1205"/>
    </row>
    <row r="6" spans="1:9" ht="66" customHeight="1">
      <c r="A6" s="1203"/>
      <c r="B6" s="45" t="s">
        <v>245</v>
      </c>
      <c r="C6" s="248" t="s">
        <v>303</v>
      </c>
      <c r="D6" s="1206"/>
      <c r="E6" s="1206"/>
      <c r="F6" s="1206"/>
      <c r="G6" s="1206"/>
      <c r="H6" s="1206"/>
      <c r="I6" s="1205"/>
    </row>
    <row r="7" spans="1:9" ht="15.75">
      <c r="A7" s="47" t="s">
        <v>246</v>
      </c>
      <c r="B7" s="48" t="s">
        <v>247</v>
      </c>
      <c r="C7" s="48" t="s">
        <v>248</v>
      </c>
      <c r="D7" s="383" t="s">
        <v>249</v>
      </c>
      <c r="E7" s="383" t="s">
        <v>250</v>
      </c>
      <c r="F7" s="383" t="s">
        <v>251</v>
      </c>
      <c r="G7" s="383" t="s">
        <v>252</v>
      </c>
      <c r="H7" s="383" t="s">
        <v>253</v>
      </c>
      <c r="I7" s="383" t="s">
        <v>254</v>
      </c>
    </row>
    <row r="8" spans="1:11" ht="21.75" customHeight="1">
      <c r="A8" s="49" t="s">
        <v>246</v>
      </c>
      <c r="B8" s="46" t="s">
        <v>405</v>
      </c>
      <c r="C8" s="50" t="s">
        <v>257</v>
      </c>
      <c r="D8" s="384"/>
      <c r="E8" s="384">
        <v>187073604</v>
      </c>
      <c r="F8" s="384">
        <v>84516247</v>
      </c>
      <c r="G8" s="384">
        <v>7000000</v>
      </c>
      <c r="H8" s="384"/>
      <c r="I8" s="384">
        <f aca="true" t="shared" si="0" ref="I8:I48">SUM(D8:H8)</f>
        <v>278589851</v>
      </c>
      <c r="J8" s="41">
        <v>256655119</v>
      </c>
      <c r="K8" s="165">
        <f>+J8-I8</f>
        <v>-21934732</v>
      </c>
    </row>
    <row r="9" spans="1:11" ht="21.75" customHeight="1">
      <c r="A9" s="49" t="s">
        <v>247</v>
      </c>
      <c r="B9" s="51" t="s">
        <v>258</v>
      </c>
      <c r="C9" s="50" t="s">
        <v>259</v>
      </c>
      <c r="D9" s="384"/>
      <c r="E9" s="384">
        <f>38281945+3800000+300000</f>
        <v>42381945</v>
      </c>
      <c r="F9" s="384">
        <v>17301690</v>
      </c>
      <c r="G9" s="384">
        <v>1365000</v>
      </c>
      <c r="H9" s="384"/>
      <c r="I9" s="384">
        <f t="shared" si="0"/>
        <v>61048635</v>
      </c>
      <c r="J9" s="41">
        <v>57814399</v>
      </c>
      <c r="K9" s="165">
        <f>+J9-I9</f>
        <v>-3234236</v>
      </c>
    </row>
    <row r="10" spans="1:11" ht="21.75" customHeight="1">
      <c r="A10" s="49" t="s">
        <v>248</v>
      </c>
      <c r="B10" s="51" t="s">
        <v>406</v>
      </c>
      <c r="C10" s="50" t="s">
        <v>260</v>
      </c>
      <c r="D10" s="384">
        <v>21000</v>
      </c>
      <c r="E10" s="384">
        <f>27924000+311597</f>
        <v>28235597</v>
      </c>
      <c r="F10" s="384">
        <f>9705000+135000+301418</f>
        <v>10141418</v>
      </c>
      <c r="G10" s="384">
        <v>66000</v>
      </c>
      <c r="H10" s="384"/>
      <c r="I10" s="384">
        <f t="shared" si="0"/>
        <v>38464015</v>
      </c>
      <c r="K10" s="165">
        <f>SUM(K8:K9)</f>
        <v>-25168968</v>
      </c>
    </row>
    <row r="11" spans="1:9" ht="21.75" customHeight="1">
      <c r="A11" s="49" t="s">
        <v>249</v>
      </c>
      <c r="B11" s="52" t="s">
        <v>407</v>
      </c>
      <c r="C11" s="50" t="s">
        <v>261</v>
      </c>
      <c r="D11" s="384"/>
      <c r="E11" s="384"/>
      <c r="F11" s="384"/>
      <c r="G11" s="384"/>
      <c r="H11" s="384"/>
      <c r="I11" s="384">
        <f t="shared" si="0"/>
        <v>0</v>
      </c>
    </row>
    <row r="12" spans="1:9" ht="21.75" customHeight="1">
      <c r="A12" s="49" t="s">
        <v>250</v>
      </c>
      <c r="B12" s="52" t="s">
        <v>292</v>
      </c>
      <c r="C12" s="50" t="s">
        <v>262</v>
      </c>
      <c r="D12" s="384">
        <f>SUM(D13:D15)</f>
        <v>0</v>
      </c>
      <c r="E12" s="384">
        <f>SUM(E13:E15)</f>
        <v>0</v>
      </c>
      <c r="F12" s="384">
        <f>SUM(F13:F15)</f>
        <v>0</v>
      </c>
      <c r="G12" s="384">
        <f>SUM(G13:G15)</f>
        <v>0</v>
      </c>
      <c r="H12" s="384">
        <f>SUM(H13:H15)</f>
        <v>0</v>
      </c>
      <c r="I12" s="384">
        <f t="shared" si="0"/>
        <v>0</v>
      </c>
    </row>
    <row r="13" spans="1:9" ht="21.75" customHeight="1">
      <c r="A13" s="49" t="s">
        <v>251</v>
      </c>
      <c r="B13" s="53" t="s">
        <v>750</v>
      </c>
      <c r="C13" s="50"/>
      <c r="D13" s="384"/>
      <c r="E13" s="384"/>
      <c r="F13" s="384"/>
      <c r="G13" s="384"/>
      <c r="H13" s="384"/>
      <c r="I13" s="384">
        <f t="shared" si="0"/>
        <v>0</v>
      </c>
    </row>
    <row r="14" spans="1:9" ht="21.75" customHeight="1">
      <c r="A14" s="49" t="s">
        <v>252</v>
      </c>
      <c r="B14" s="53" t="s">
        <v>751</v>
      </c>
      <c r="C14" s="54"/>
      <c r="D14" s="384"/>
      <c r="E14" s="384"/>
      <c r="F14" s="384"/>
      <c r="G14" s="384"/>
      <c r="H14" s="384"/>
      <c r="I14" s="384">
        <f t="shared" si="0"/>
        <v>0</v>
      </c>
    </row>
    <row r="15" spans="1:9" ht="21.75" customHeight="1">
      <c r="A15" s="49" t="s">
        <v>253</v>
      </c>
      <c r="B15" s="175" t="s">
        <v>752</v>
      </c>
      <c r="C15" s="54"/>
      <c r="D15" s="384"/>
      <c r="E15" s="384"/>
      <c r="F15" s="384"/>
      <c r="G15" s="384"/>
      <c r="H15" s="384"/>
      <c r="I15" s="384"/>
    </row>
    <row r="16" spans="1:9" ht="21.75" customHeight="1">
      <c r="A16" s="49" t="s">
        <v>254</v>
      </c>
      <c r="B16" s="55" t="s">
        <v>299</v>
      </c>
      <c r="C16" s="50" t="s">
        <v>263</v>
      </c>
      <c r="D16" s="384"/>
      <c r="E16" s="384">
        <v>800000</v>
      </c>
      <c r="F16" s="384">
        <v>400000</v>
      </c>
      <c r="G16" s="384"/>
      <c r="H16" s="384"/>
      <c r="I16" s="384">
        <f t="shared" si="0"/>
        <v>1200000</v>
      </c>
    </row>
    <row r="17" spans="1:9" ht="21.75" customHeight="1">
      <c r="A17" s="49" t="s">
        <v>255</v>
      </c>
      <c r="B17" s="52" t="s">
        <v>408</v>
      </c>
      <c r="C17" s="50" t="s">
        <v>264</v>
      </c>
      <c r="D17" s="384"/>
      <c r="E17" s="384"/>
      <c r="F17" s="384"/>
      <c r="G17" s="384"/>
      <c r="H17" s="384"/>
      <c r="I17" s="384">
        <f t="shared" si="0"/>
        <v>0</v>
      </c>
    </row>
    <row r="18" spans="1:9" ht="21.75" customHeight="1">
      <c r="A18" s="49" t="s">
        <v>256</v>
      </c>
      <c r="B18" s="52" t="s">
        <v>293</v>
      </c>
      <c r="C18" s="50" t="s">
        <v>265</v>
      </c>
      <c r="D18" s="384"/>
      <c r="E18" s="384"/>
      <c r="F18" s="384"/>
      <c r="G18" s="384"/>
      <c r="H18" s="384"/>
      <c r="I18" s="384">
        <f t="shared" si="0"/>
        <v>0</v>
      </c>
    </row>
    <row r="19" spans="1:9" ht="21.75" customHeight="1">
      <c r="A19" s="49" t="s">
        <v>283</v>
      </c>
      <c r="B19" s="53" t="s">
        <v>753</v>
      </c>
      <c r="C19" s="50"/>
      <c r="D19" s="384"/>
      <c r="E19" s="384"/>
      <c r="F19" s="384"/>
      <c r="G19" s="384"/>
      <c r="H19" s="384"/>
      <c r="I19" s="384">
        <f t="shared" si="0"/>
        <v>0</v>
      </c>
    </row>
    <row r="20" spans="1:10" ht="21.75" customHeight="1">
      <c r="A20" s="49" t="s">
        <v>284</v>
      </c>
      <c r="B20" s="55" t="s">
        <v>294</v>
      </c>
      <c r="C20" s="50" t="s">
        <v>266</v>
      </c>
      <c r="D20" s="384">
        <f>+D8+D9+D10+D11+D12+D16+D17+D18+D15</f>
        <v>21000</v>
      </c>
      <c r="E20" s="384">
        <f>+E8+E9+E10+E11+E12+E16+E17+E18+E15</f>
        <v>258491146</v>
      </c>
      <c r="F20" s="384">
        <f>+F8+F9+F10+F11+F12+F16+F17+F18+F15</f>
        <v>112359355</v>
      </c>
      <c r="G20" s="384">
        <f>+G8+G9+G10+G11+G12+G16+G17+G18+G15</f>
        <v>8431000</v>
      </c>
      <c r="H20" s="384">
        <f>+H8+H9+H10+H11+H12+H16+H17+H18+H15</f>
        <v>0</v>
      </c>
      <c r="I20" s="384">
        <f t="shared" si="0"/>
        <v>379302501</v>
      </c>
      <c r="J20" s="165">
        <f>I8+I9+I10+I11+I12+I16+I17+I18</f>
        <v>379302501</v>
      </c>
    </row>
    <row r="21" spans="1:9" ht="21.75" customHeight="1">
      <c r="A21" s="49" t="s">
        <v>285</v>
      </c>
      <c r="B21" s="55" t="s">
        <v>279</v>
      </c>
      <c r="C21" s="50" t="s">
        <v>275</v>
      </c>
      <c r="D21" s="384">
        <f>SUM(D22:D25)</f>
        <v>0</v>
      </c>
      <c r="E21" s="384">
        <f>SUM(E22:E25)</f>
        <v>0</v>
      </c>
      <c r="F21" s="384">
        <f>SUM(F22:F25)</f>
        <v>0</v>
      </c>
      <c r="G21" s="384">
        <f>SUM(G22:G25)</f>
        <v>0</v>
      </c>
      <c r="H21" s="384">
        <f>SUM(H22:H25)</f>
        <v>0</v>
      </c>
      <c r="I21" s="384">
        <f t="shared" si="0"/>
        <v>0</v>
      </c>
    </row>
    <row r="22" spans="1:9" ht="21.75" customHeight="1">
      <c r="A22" s="49" t="s">
        <v>286</v>
      </c>
      <c r="B22" s="177" t="s">
        <v>232</v>
      </c>
      <c r="C22" s="54"/>
      <c r="D22" s="384"/>
      <c r="E22" s="384"/>
      <c r="F22" s="384"/>
      <c r="G22" s="384"/>
      <c r="H22" s="384"/>
      <c r="I22" s="384">
        <f t="shared" si="0"/>
        <v>0</v>
      </c>
    </row>
    <row r="23" spans="1:9" ht="21.75" customHeight="1">
      <c r="A23" s="49" t="s">
        <v>287</v>
      </c>
      <c r="B23" s="56" t="s">
        <v>741</v>
      </c>
      <c r="C23" s="54"/>
      <c r="D23" s="384"/>
      <c r="E23" s="384"/>
      <c r="F23" s="384"/>
      <c r="G23" s="384"/>
      <c r="H23" s="384"/>
      <c r="I23" s="384">
        <f t="shared" si="0"/>
        <v>0</v>
      </c>
    </row>
    <row r="24" spans="1:9" ht="21.75" customHeight="1">
      <c r="A24" s="49" t="s">
        <v>288</v>
      </c>
      <c r="B24" s="56" t="s">
        <v>742</v>
      </c>
      <c r="C24" s="54"/>
      <c r="D24" s="384"/>
      <c r="E24" s="384"/>
      <c r="F24" s="384"/>
      <c r="G24" s="384"/>
      <c r="H24" s="384"/>
      <c r="I24" s="384">
        <f t="shared" si="0"/>
        <v>0</v>
      </c>
    </row>
    <row r="25" spans="1:9" ht="21.75" customHeight="1">
      <c r="A25" s="49" t="s">
        <v>289</v>
      </c>
      <c r="B25" s="56" t="s">
        <v>160</v>
      </c>
      <c r="C25" s="54"/>
      <c r="D25" s="384"/>
      <c r="E25" s="384"/>
      <c r="F25" s="384"/>
      <c r="G25" s="384"/>
      <c r="H25" s="384"/>
      <c r="I25" s="384">
        <f t="shared" si="0"/>
        <v>0</v>
      </c>
    </row>
    <row r="26" spans="1:9" ht="21.75" customHeight="1">
      <c r="A26" s="49" t="s">
        <v>290</v>
      </c>
      <c r="B26" s="510" t="s">
        <v>1408</v>
      </c>
      <c r="C26" s="54"/>
      <c r="D26" s="384"/>
      <c r="E26" s="384"/>
      <c r="F26" s="384"/>
      <c r="G26" s="384"/>
      <c r="H26" s="384"/>
      <c r="I26" s="384"/>
    </row>
    <row r="27" spans="1:9" s="58" customFormat="1" ht="21.75" customHeight="1">
      <c r="A27" s="49" t="s">
        <v>291</v>
      </c>
      <c r="B27" s="57" t="s">
        <v>33</v>
      </c>
      <c r="C27" s="50"/>
      <c r="D27" s="385">
        <f>+D8+D9+D10+D11+D12+D22+D23</f>
        <v>21000</v>
      </c>
      <c r="E27" s="385">
        <f>+E8+E9+E10+E11+E12+E22+E23</f>
        <v>257691146</v>
      </c>
      <c r="F27" s="385">
        <f>+F8+F9+F10+F11+F12+F22+F23</f>
        <v>111959355</v>
      </c>
      <c r="G27" s="385">
        <f>+G8+G9+G10+G11+G12+G22+G23</f>
        <v>8431000</v>
      </c>
      <c r="H27" s="385">
        <f>+H8+H9+H10+H11+H12+H22+H23</f>
        <v>0</v>
      </c>
      <c r="I27" s="385">
        <f t="shared" si="0"/>
        <v>378102501</v>
      </c>
    </row>
    <row r="28" spans="1:9" s="58" customFormat="1" ht="21.75" customHeight="1">
      <c r="A28" s="49" t="s">
        <v>322</v>
      </c>
      <c r="B28" s="57" t="s">
        <v>34</v>
      </c>
      <c r="C28" s="50"/>
      <c r="D28" s="385">
        <f>+D16+D17+D18+D24+D25</f>
        <v>0</v>
      </c>
      <c r="E28" s="385">
        <f>+E16+E17+E18+E24+E25</f>
        <v>800000</v>
      </c>
      <c r="F28" s="385">
        <f>+F16+F17+F18+F24+F25</f>
        <v>400000</v>
      </c>
      <c r="G28" s="385">
        <f>+G16+G17+G18+G24+G25</f>
        <v>0</v>
      </c>
      <c r="H28" s="385">
        <f>+H16+H17+H18+H24+H25</f>
        <v>0</v>
      </c>
      <c r="I28" s="385">
        <f t="shared" si="0"/>
        <v>1200000</v>
      </c>
    </row>
    <row r="29" spans="1:9" s="58" customFormat="1" ht="21.75" customHeight="1">
      <c r="A29" s="49" t="s">
        <v>323</v>
      </c>
      <c r="B29" s="57" t="s">
        <v>398</v>
      </c>
      <c r="C29" s="50" t="s">
        <v>32</v>
      </c>
      <c r="D29" s="385">
        <f>SUM(D27:D28)</f>
        <v>21000</v>
      </c>
      <c r="E29" s="385">
        <f>SUM(E27:E28)</f>
        <v>258491146</v>
      </c>
      <c r="F29" s="385">
        <f>SUM(F27:F28)</f>
        <v>112359355</v>
      </c>
      <c r="G29" s="385">
        <f>SUM(G27:G28)</f>
        <v>8431000</v>
      </c>
      <c r="H29" s="385">
        <f>SUM(H27:H28)</f>
        <v>0</v>
      </c>
      <c r="I29" s="385">
        <f t="shared" si="0"/>
        <v>379302501</v>
      </c>
    </row>
    <row r="30" spans="1:9" ht="21.75" customHeight="1">
      <c r="A30" s="49" t="s">
        <v>324</v>
      </c>
      <c r="B30" s="51" t="s">
        <v>54</v>
      </c>
      <c r="C30" s="55" t="s">
        <v>267</v>
      </c>
      <c r="D30" s="384"/>
      <c r="E30" s="384"/>
      <c r="F30" s="384"/>
      <c r="G30" s="384"/>
      <c r="H30" s="384"/>
      <c r="I30" s="384">
        <f t="shared" si="0"/>
        <v>0</v>
      </c>
    </row>
    <row r="31" spans="1:9" ht="21.75" customHeight="1">
      <c r="A31" s="49" t="s">
        <v>325</v>
      </c>
      <c r="B31" s="51" t="s">
        <v>278</v>
      </c>
      <c r="C31" s="55" t="s">
        <v>268</v>
      </c>
      <c r="D31" s="384"/>
      <c r="E31" s="384"/>
      <c r="F31" s="384"/>
      <c r="G31" s="384"/>
      <c r="H31" s="384"/>
      <c r="I31" s="384">
        <f t="shared" si="0"/>
        <v>0</v>
      </c>
    </row>
    <row r="32" spans="1:9" ht="21.75" customHeight="1">
      <c r="A32" s="49" t="s">
        <v>326</v>
      </c>
      <c r="B32" s="51" t="s">
        <v>277</v>
      </c>
      <c r="C32" s="55" t="s">
        <v>269</v>
      </c>
      <c r="D32" s="384"/>
      <c r="E32" s="384"/>
      <c r="F32" s="384"/>
      <c r="G32" s="384"/>
      <c r="H32" s="384"/>
      <c r="I32" s="384">
        <f t="shared" si="0"/>
        <v>0</v>
      </c>
    </row>
    <row r="33" spans="1:9" ht="21.75" customHeight="1">
      <c r="A33" s="49" t="s">
        <v>327</v>
      </c>
      <c r="B33" s="52" t="s">
        <v>0</v>
      </c>
      <c r="C33" s="55" t="s">
        <v>270</v>
      </c>
      <c r="D33" s="384"/>
      <c r="E33" s="384">
        <v>500000</v>
      </c>
      <c r="F33" s="384"/>
      <c r="G33" s="384"/>
      <c r="H33" s="384">
        <v>21000</v>
      </c>
      <c r="I33" s="384">
        <f t="shared" si="0"/>
        <v>521000</v>
      </c>
    </row>
    <row r="34" spans="1:9" ht="21.75" customHeight="1">
      <c r="A34" s="49" t="s">
        <v>328</v>
      </c>
      <c r="B34" s="51" t="s">
        <v>300</v>
      </c>
      <c r="C34" s="55" t="s">
        <v>271</v>
      </c>
      <c r="D34" s="384"/>
      <c r="E34" s="384"/>
      <c r="F34" s="384"/>
      <c r="G34" s="384"/>
      <c r="H34" s="384"/>
      <c r="I34" s="384">
        <f t="shared" si="0"/>
        <v>0</v>
      </c>
    </row>
    <row r="35" spans="1:9" ht="21.75" customHeight="1">
      <c r="A35" s="49" t="s">
        <v>329</v>
      </c>
      <c r="B35" s="51" t="s">
        <v>295</v>
      </c>
      <c r="C35" s="55" t="s">
        <v>272</v>
      </c>
      <c r="D35" s="384"/>
      <c r="E35" s="384"/>
      <c r="F35" s="384"/>
      <c r="G35" s="384"/>
      <c r="H35" s="384"/>
      <c r="I35" s="384">
        <f t="shared" si="0"/>
        <v>0</v>
      </c>
    </row>
    <row r="36" spans="1:9" ht="21.75" customHeight="1">
      <c r="A36" s="49" t="s">
        <v>330</v>
      </c>
      <c r="B36" s="51" t="s">
        <v>296</v>
      </c>
      <c r="C36" s="55" t="s">
        <v>273</v>
      </c>
      <c r="D36" s="384"/>
      <c r="E36" s="384"/>
      <c r="F36" s="384"/>
      <c r="G36" s="384"/>
      <c r="H36" s="384"/>
      <c r="I36" s="384">
        <f t="shared" si="0"/>
        <v>0</v>
      </c>
    </row>
    <row r="37" spans="1:10" ht="21.75" customHeight="1">
      <c r="A37" s="49" t="s">
        <v>331</v>
      </c>
      <c r="B37" s="52" t="s">
        <v>297</v>
      </c>
      <c r="C37" s="55" t="s">
        <v>274</v>
      </c>
      <c r="D37" s="384">
        <f>+D30+D31+D32+D33+D34+D35+D36</f>
        <v>0</v>
      </c>
      <c r="E37" s="384">
        <f>+E30+E31+E32+E33+E34+E35+E36</f>
        <v>500000</v>
      </c>
      <c r="F37" s="384">
        <f>+F30+F31+F32+F33+F34+F35+F36</f>
        <v>0</v>
      </c>
      <c r="G37" s="384">
        <f>+G30+G31+G32+G33+G34+G35+G36</f>
        <v>0</v>
      </c>
      <c r="H37" s="384">
        <f>+H30+H31+H32+H33+H34+H35+H36</f>
        <v>21000</v>
      </c>
      <c r="I37" s="384">
        <f t="shared" si="0"/>
        <v>521000</v>
      </c>
      <c r="J37" s="165">
        <f>SUM(I30:I36)</f>
        <v>521000</v>
      </c>
    </row>
    <row r="38" spans="1:9" ht="21.75" customHeight="1">
      <c r="A38" s="49" t="s">
        <v>332</v>
      </c>
      <c r="B38" s="55" t="s">
        <v>298</v>
      </c>
      <c r="C38" s="50" t="s">
        <v>276</v>
      </c>
      <c r="D38" s="384">
        <f>SUM(D40:D44)</f>
        <v>378781501</v>
      </c>
      <c r="E38" s="384">
        <f>SUM(E40:E44)</f>
        <v>0</v>
      </c>
      <c r="F38" s="384">
        <f>SUM(F40:F44)</f>
        <v>0</v>
      </c>
      <c r="G38" s="384">
        <f>SUM(G40:G44)</f>
        <v>0</v>
      </c>
      <c r="H38" s="384">
        <f>SUM(H40:H44)</f>
        <v>0</v>
      </c>
      <c r="I38" s="384">
        <f>SUM(D38:H38)</f>
        <v>378781501</v>
      </c>
    </row>
    <row r="39" spans="1:9" ht="21.75" customHeight="1">
      <c r="A39" s="49" t="s">
        <v>333</v>
      </c>
      <c r="B39" s="177" t="s">
        <v>754</v>
      </c>
      <c r="C39" s="50"/>
      <c r="D39" s="384"/>
      <c r="E39" s="384"/>
      <c r="F39" s="384"/>
      <c r="G39" s="384"/>
      <c r="H39" s="384"/>
      <c r="I39" s="384"/>
    </row>
    <row r="40" spans="1:9" ht="21.75" customHeight="1">
      <c r="A40" s="49" t="s">
        <v>334</v>
      </c>
      <c r="B40" s="56" t="s">
        <v>713</v>
      </c>
      <c r="C40" s="54"/>
      <c r="D40" s="384"/>
      <c r="E40" s="384"/>
      <c r="F40" s="384"/>
      <c r="G40" s="384"/>
      <c r="H40" s="384"/>
      <c r="I40" s="384">
        <f t="shared" si="0"/>
        <v>0</v>
      </c>
    </row>
    <row r="41" spans="1:9" ht="21.75" customHeight="1">
      <c r="A41" s="49" t="s">
        <v>341</v>
      </c>
      <c r="B41" s="56" t="s">
        <v>714</v>
      </c>
      <c r="C41" s="54"/>
      <c r="D41" s="384"/>
      <c r="E41" s="384"/>
      <c r="F41" s="384"/>
      <c r="G41" s="384"/>
      <c r="H41" s="384"/>
      <c r="I41" s="384">
        <f t="shared" si="0"/>
        <v>0</v>
      </c>
    </row>
    <row r="42" spans="1:9" ht="21.75" customHeight="1">
      <c r="A42" s="49" t="s">
        <v>342</v>
      </c>
      <c r="B42" s="56" t="s">
        <v>715</v>
      </c>
      <c r="C42" s="54"/>
      <c r="D42" s="384">
        <f>I27-I30-I32-I33-I35-I40</f>
        <v>377581501</v>
      </c>
      <c r="E42" s="384"/>
      <c r="F42" s="384"/>
      <c r="G42" s="384"/>
      <c r="H42" s="384"/>
      <c r="I42" s="384">
        <f t="shared" si="0"/>
        <v>377581501</v>
      </c>
    </row>
    <row r="43" spans="1:9" ht="21.75" customHeight="1">
      <c r="A43" s="49" t="s">
        <v>343</v>
      </c>
      <c r="B43" s="56" t="s">
        <v>716</v>
      </c>
      <c r="C43" s="54"/>
      <c r="D43" s="384">
        <f>I28-I31-I34-I36-I41</f>
        <v>1200000</v>
      </c>
      <c r="E43" s="384"/>
      <c r="F43" s="384"/>
      <c r="G43" s="384"/>
      <c r="H43" s="384"/>
      <c r="I43" s="384">
        <f t="shared" si="0"/>
        <v>1200000</v>
      </c>
    </row>
    <row r="44" spans="1:9" ht="21.75" customHeight="1">
      <c r="A44" s="49" t="s">
        <v>344</v>
      </c>
      <c r="B44" s="56" t="s">
        <v>769</v>
      </c>
      <c r="C44" s="54"/>
      <c r="D44" s="384"/>
      <c r="E44" s="384"/>
      <c r="F44" s="384"/>
      <c r="G44" s="384"/>
      <c r="H44" s="384"/>
      <c r="I44" s="384">
        <f t="shared" si="0"/>
        <v>0</v>
      </c>
    </row>
    <row r="45" spans="1:9" ht="21.75" customHeight="1">
      <c r="A45" s="49" t="s">
        <v>345</v>
      </c>
      <c r="B45" s="510" t="s">
        <v>1409</v>
      </c>
      <c r="C45" s="54"/>
      <c r="D45" s="384"/>
      <c r="E45" s="384"/>
      <c r="F45" s="384"/>
      <c r="G45" s="384"/>
      <c r="H45" s="384"/>
      <c r="I45" s="384"/>
    </row>
    <row r="46" spans="1:9" ht="21.75" customHeight="1">
      <c r="A46" s="49" t="s">
        <v>346</v>
      </c>
      <c r="B46" s="57" t="s">
        <v>145</v>
      </c>
      <c r="C46" s="50"/>
      <c r="D46" s="385">
        <f>+D30+D32+D33+D35+D40+D42</f>
        <v>377581501</v>
      </c>
      <c r="E46" s="385">
        <f>+E30+E32+E33+E35+E40+E42</f>
        <v>500000</v>
      </c>
      <c r="F46" s="385">
        <f>+F30+F32+F33+F35+F40+F42</f>
        <v>0</v>
      </c>
      <c r="G46" s="385">
        <f>+G30+G32+G33+G35+G40+G42</f>
        <v>0</v>
      </c>
      <c r="H46" s="385">
        <f>+H30+H32+H33+H35+H40+H42</f>
        <v>21000</v>
      </c>
      <c r="I46" s="385">
        <f t="shared" si="0"/>
        <v>378102501</v>
      </c>
    </row>
    <row r="47" spans="1:9" ht="21.75" customHeight="1">
      <c r="A47" s="49" t="s">
        <v>347</v>
      </c>
      <c r="B47" s="57" t="s">
        <v>146</v>
      </c>
      <c r="C47" s="50"/>
      <c r="D47" s="385">
        <f>+D31+D34+D36+D41+D428+D44+D43</f>
        <v>1200000</v>
      </c>
      <c r="E47" s="385">
        <f>+E31+E34+E36+E41+E428+E44+E43</f>
        <v>0</v>
      </c>
      <c r="F47" s="385">
        <f>+F31+F34+F36+F41+F428+F44+F43</f>
        <v>0</v>
      </c>
      <c r="G47" s="385">
        <f>+G31+G34+G36+G41+G428+G44+G43</f>
        <v>0</v>
      </c>
      <c r="H47" s="385">
        <f>+H31+H34+H36+H41+H428+H44+H43</f>
        <v>0</v>
      </c>
      <c r="I47" s="385">
        <f t="shared" si="0"/>
        <v>1200000</v>
      </c>
    </row>
    <row r="48" spans="1:9" ht="21.75" customHeight="1">
      <c r="A48" s="49" t="s">
        <v>348</v>
      </c>
      <c r="B48" s="57" t="s">
        <v>399</v>
      </c>
      <c r="C48" s="50"/>
      <c r="D48" s="385">
        <f>+D46+D47</f>
        <v>378781501</v>
      </c>
      <c r="E48" s="385">
        <f>+E46+E47</f>
        <v>500000</v>
      </c>
      <c r="F48" s="385">
        <f>+F46+F47</f>
        <v>0</v>
      </c>
      <c r="G48" s="385">
        <f>+G46+G47</f>
        <v>0</v>
      </c>
      <c r="H48" s="385">
        <f>+H46+H47</f>
        <v>21000</v>
      </c>
      <c r="I48" s="385">
        <f t="shared" si="0"/>
        <v>379302501</v>
      </c>
    </row>
    <row r="49" spans="1:11" ht="21.75" customHeight="1">
      <c r="A49" s="49" t="s">
        <v>349</v>
      </c>
      <c r="B49" s="90" t="s">
        <v>551</v>
      </c>
      <c r="C49" s="389"/>
      <c r="D49" s="384"/>
      <c r="E49" s="384">
        <f>'12.sz.mell. Létszámtábla'!C27</f>
        <v>49</v>
      </c>
      <c r="F49" s="384">
        <f>'12.sz.mell. Létszámtábla'!C28</f>
        <v>23</v>
      </c>
      <c r="G49" s="384"/>
      <c r="H49" s="384"/>
      <c r="I49" s="384">
        <f>SUM(E49:H49)</f>
        <v>72</v>
      </c>
      <c r="K49" s="165">
        <f>I48-I29</f>
        <v>0</v>
      </c>
    </row>
    <row r="50" spans="1:11" ht="21.75" customHeight="1">
      <c r="A50" s="49" t="s">
        <v>350</v>
      </c>
      <c r="B50" s="90" t="s">
        <v>899</v>
      </c>
      <c r="C50" s="389"/>
      <c r="D50" s="384"/>
      <c r="E50" s="470"/>
      <c r="F50" s="470"/>
      <c r="G50" s="470"/>
      <c r="H50" s="470"/>
      <c r="I50" s="470">
        <f>SUM(E50:H50)</f>
        <v>0</v>
      </c>
      <c r="K50" s="165"/>
    </row>
  </sheetData>
  <sheetProtection/>
  <mergeCells count="12">
    <mergeCell ref="A3:A6"/>
    <mergeCell ref="B3:C3"/>
    <mergeCell ref="A2:C2"/>
    <mergeCell ref="F5:F6"/>
    <mergeCell ref="H5:H6"/>
    <mergeCell ref="G5:G6"/>
    <mergeCell ref="I3:I6"/>
    <mergeCell ref="D5:D6"/>
    <mergeCell ref="E5:E6"/>
    <mergeCell ref="D2:I2"/>
    <mergeCell ref="B4:C4"/>
    <mergeCell ref="B5:C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200" verticalDpi="200" orientation="portrait" paperSize="9" scale="50" r:id="rId1"/>
  <headerFooter alignWithMargins="0">
    <oddHeader>&amp;C2019. évi költégvetés&amp;R&amp;A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view="pageBreakPreview" zoomScale="80" zoomScaleSheetLayoutView="80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" sqref="H5:H6"/>
    </sheetView>
  </sheetViews>
  <sheetFormatPr defaultColWidth="9.00390625" defaultRowHeight="12.75"/>
  <cols>
    <col min="1" max="1" width="6.25390625" style="41" bestFit="1" customWidth="1"/>
    <col min="2" max="2" width="64.875" style="41" customWidth="1"/>
    <col min="3" max="3" width="7.875" style="249" customWidth="1"/>
    <col min="4" max="4" width="17.875" style="42" customWidth="1"/>
    <col min="5" max="5" width="21.375" style="42" customWidth="1"/>
    <col min="6" max="7" width="18.25390625" style="42" customWidth="1"/>
    <col min="8" max="8" width="15.75390625" style="42" customWidth="1"/>
    <col min="9" max="9" width="19.125" style="42" bestFit="1" customWidth="1"/>
    <col min="10" max="10" width="15.375" style="41" customWidth="1"/>
    <col min="11" max="11" width="13.375" style="41" bestFit="1" customWidth="1"/>
    <col min="12" max="16384" width="9.125" style="41" customWidth="1"/>
  </cols>
  <sheetData>
    <row r="1" spans="1:9" ht="15.75">
      <c r="A1" s="376"/>
      <c r="B1" s="376"/>
      <c r="C1" s="377"/>
      <c r="D1" s="378"/>
      <c r="E1" s="378"/>
      <c r="F1" s="378"/>
      <c r="G1" s="378"/>
      <c r="H1" s="378"/>
      <c r="I1" s="379" t="s">
        <v>541</v>
      </c>
    </row>
    <row r="2" spans="1:9" ht="41.25" customHeight="1">
      <c r="A2" s="1204" t="s">
        <v>176</v>
      </c>
      <c r="B2" s="1204"/>
      <c r="C2" s="1204"/>
      <c r="D2" s="1206" t="s">
        <v>920</v>
      </c>
      <c r="E2" s="1206"/>
      <c r="F2" s="1206"/>
      <c r="G2" s="1206"/>
      <c r="H2" s="1206"/>
      <c r="I2" s="1206"/>
    </row>
    <row r="3" spans="1:10" s="44" customFormat="1" ht="95.25" customHeight="1">
      <c r="A3" s="1203" t="s">
        <v>244</v>
      </c>
      <c r="B3" s="1204" t="s">
        <v>302</v>
      </c>
      <c r="C3" s="1204"/>
      <c r="D3" s="380" t="s">
        <v>604</v>
      </c>
      <c r="E3" s="381" t="s">
        <v>230</v>
      </c>
      <c r="F3" s="381" t="s">
        <v>542</v>
      </c>
      <c r="G3" s="381" t="s">
        <v>542</v>
      </c>
      <c r="H3" s="381" t="s">
        <v>236</v>
      </c>
      <c r="I3" s="1205" t="s">
        <v>178</v>
      </c>
      <c r="J3" s="210"/>
    </row>
    <row r="4" spans="1:9" s="44" customFormat="1" ht="25.5" customHeight="1">
      <c r="A4" s="1203"/>
      <c r="B4" s="1204" t="s">
        <v>12</v>
      </c>
      <c r="C4" s="1204"/>
      <c r="D4" s="380" t="s">
        <v>280</v>
      </c>
      <c r="E4" s="380" t="s">
        <v>280</v>
      </c>
      <c r="F4" s="380" t="s">
        <v>280</v>
      </c>
      <c r="G4" s="380" t="s">
        <v>280</v>
      </c>
      <c r="H4" s="380" t="s">
        <v>280</v>
      </c>
      <c r="I4" s="1205"/>
    </row>
    <row r="5" spans="1:9" s="44" customFormat="1" ht="16.5" customHeight="1">
      <c r="A5" s="1203"/>
      <c r="B5" s="1188" t="s">
        <v>1308</v>
      </c>
      <c r="C5" s="1188"/>
      <c r="D5" s="1206" t="s">
        <v>510</v>
      </c>
      <c r="E5" s="1206" t="s">
        <v>424</v>
      </c>
      <c r="F5" s="1206" t="s">
        <v>856</v>
      </c>
      <c r="G5" s="1206" t="s">
        <v>857</v>
      </c>
      <c r="H5" s="1206" t="s">
        <v>794</v>
      </c>
      <c r="I5" s="1205"/>
    </row>
    <row r="6" spans="1:9" ht="63.75" customHeight="1">
      <c r="A6" s="1203"/>
      <c r="B6" s="45" t="s">
        <v>245</v>
      </c>
      <c r="C6" s="248" t="s">
        <v>303</v>
      </c>
      <c r="D6" s="1206"/>
      <c r="E6" s="1206"/>
      <c r="F6" s="1206"/>
      <c r="G6" s="1206"/>
      <c r="H6" s="1206"/>
      <c r="I6" s="1205"/>
    </row>
    <row r="7" spans="1:9" ht="15.75">
      <c r="A7" s="47" t="s">
        <v>246</v>
      </c>
      <c r="B7" s="48" t="s">
        <v>247</v>
      </c>
      <c r="C7" s="48" t="s">
        <v>248</v>
      </c>
      <c r="D7" s="383" t="s">
        <v>249</v>
      </c>
      <c r="E7" s="383" t="s">
        <v>250</v>
      </c>
      <c r="F7" s="383" t="s">
        <v>251</v>
      </c>
      <c r="G7" s="383" t="s">
        <v>252</v>
      </c>
      <c r="H7" s="383" t="s">
        <v>253</v>
      </c>
      <c r="I7" s="383" t="s">
        <v>254</v>
      </c>
    </row>
    <row r="8" spans="1:11" ht="21.75" customHeight="1">
      <c r="A8" s="49" t="s">
        <v>246</v>
      </c>
      <c r="B8" s="46" t="s">
        <v>405</v>
      </c>
      <c r="C8" s="250" t="s">
        <v>257</v>
      </c>
      <c r="D8" s="384"/>
      <c r="E8" s="384">
        <f>19077411+3605562</f>
        <v>22682973</v>
      </c>
      <c r="F8" s="384">
        <v>95155168</v>
      </c>
      <c r="G8" s="384">
        <v>70155378</v>
      </c>
      <c r="H8" s="384"/>
      <c r="I8" s="384">
        <f>SUM(D8:H8)</f>
        <v>187993519</v>
      </c>
      <c r="J8" s="41">
        <v>112943046</v>
      </c>
      <c r="K8" s="165">
        <f>+J8-I8</f>
        <v>-75050473</v>
      </c>
    </row>
    <row r="9" spans="1:11" ht="21.75" customHeight="1">
      <c r="A9" s="49" t="s">
        <v>247</v>
      </c>
      <c r="B9" s="51" t="s">
        <v>258</v>
      </c>
      <c r="C9" s="250" t="s">
        <v>259</v>
      </c>
      <c r="D9" s="384"/>
      <c r="E9" s="384">
        <f>3829759+725017</f>
        <v>4554776</v>
      </c>
      <c r="F9" s="384">
        <f>19155245+1500000+50000</f>
        <v>20705245</v>
      </c>
      <c r="G9" s="384">
        <v>14170622</v>
      </c>
      <c r="H9" s="384"/>
      <c r="I9" s="384">
        <f aca="true" t="shared" si="0" ref="I9:I48">SUM(D9:H9)</f>
        <v>39430643</v>
      </c>
      <c r="J9" s="41">
        <v>26358994</v>
      </c>
      <c r="K9" s="165">
        <f>+J9-I9</f>
        <v>-13071649</v>
      </c>
    </row>
    <row r="10" spans="1:11" ht="21.75" customHeight="1">
      <c r="A10" s="49" t="s">
        <v>248</v>
      </c>
      <c r="B10" s="51" t="s">
        <v>406</v>
      </c>
      <c r="C10" s="250" t="s">
        <v>260</v>
      </c>
      <c r="D10" s="384">
        <v>462754</v>
      </c>
      <c r="E10" s="384">
        <f>23854850+49509</f>
        <v>23904359</v>
      </c>
      <c r="F10" s="384">
        <f>13187720</f>
        <v>13187720</v>
      </c>
      <c r="G10" s="384">
        <f>11469300+16510</f>
        <v>11485810</v>
      </c>
      <c r="H10" s="384"/>
      <c r="I10" s="384">
        <f t="shared" si="0"/>
        <v>49040643</v>
      </c>
      <c r="K10" s="165">
        <f>SUM(K8:K9)</f>
        <v>-88122122</v>
      </c>
    </row>
    <row r="11" spans="1:9" ht="21.75" customHeight="1">
      <c r="A11" s="49" t="s">
        <v>249</v>
      </c>
      <c r="B11" s="52" t="s">
        <v>407</v>
      </c>
      <c r="C11" s="250" t="s">
        <v>261</v>
      </c>
      <c r="D11" s="384"/>
      <c r="E11" s="384"/>
      <c r="F11" s="384"/>
      <c r="G11" s="384"/>
      <c r="H11" s="384"/>
      <c r="I11" s="384">
        <f t="shared" si="0"/>
        <v>0</v>
      </c>
    </row>
    <row r="12" spans="1:9" ht="21.75" customHeight="1">
      <c r="A12" s="49" t="s">
        <v>250</v>
      </c>
      <c r="B12" s="52" t="s">
        <v>292</v>
      </c>
      <c r="C12" s="250" t="s">
        <v>262</v>
      </c>
      <c r="D12" s="384">
        <f>SUM(D13:D15)</f>
        <v>0</v>
      </c>
      <c r="E12" s="384">
        <f>SUM(E13:E15)</f>
        <v>0</v>
      </c>
      <c r="F12" s="384">
        <f>SUM(F13:F15)</f>
        <v>0</v>
      </c>
      <c r="G12" s="384">
        <f>SUM(G13:G15)</f>
        <v>0</v>
      </c>
      <c r="H12" s="384">
        <f>SUM(H13:H15)</f>
        <v>0</v>
      </c>
      <c r="I12" s="384">
        <f t="shared" si="0"/>
        <v>0</v>
      </c>
    </row>
    <row r="13" spans="1:9" ht="21.75" customHeight="1">
      <c r="A13" s="49" t="s">
        <v>251</v>
      </c>
      <c r="B13" s="53" t="s">
        <v>159</v>
      </c>
      <c r="C13" s="250"/>
      <c r="D13" s="384"/>
      <c r="E13" s="384"/>
      <c r="F13" s="384"/>
      <c r="G13" s="384"/>
      <c r="H13" s="384"/>
      <c r="I13" s="384">
        <f t="shared" si="0"/>
        <v>0</v>
      </c>
    </row>
    <row r="14" spans="1:9" ht="21.75" customHeight="1">
      <c r="A14" s="49" t="s">
        <v>252</v>
      </c>
      <c r="B14" s="53" t="s">
        <v>148</v>
      </c>
      <c r="C14" s="251"/>
      <c r="D14" s="384"/>
      <c r="E14" s="384"/>
      <c r="F14" s="384"/>
      <c r="G14" s="384"/>
      <c r="H14" s="384"/>
      <c r="I14" s="384">
        <f t="shared" si="0"/>
        <v>0</v>
      </c>
    </row>
    <row r="15" spans="1:9" ht="21.75" customHeight="1">
      <c r="A15" s="49" t="s">
        <v>253</v>
      </c>
      <c r="B15" s="175" t="s">
        <v>738</v>
      </c>
      <c r="C15" s="251"/>
      <c r="D15" s="384"/>
      <c r="E15" s="384"/>
      <c r="F15" s="384"/>
      <c r="G15" s="384"/>
      <c r="H15" s="384"/>
      <c r="I15" s="384"/>
    </row>
    <row r="16" spans="1:9" ht="21.75" customHeight="1">
      <c r="A16" s="49" t="s">
        <v>254</v>
      </c>
      <c r="B16" s="55" t="s">
        <v>299</v>
      </c>
      <c r="C16" s="250" t="s">
        <v>263</v>
      </c>
      <c r="D16" s="384"/>
      <c r="E16" s="384">
        <f>+'6.sz. Beruházások'!E68</f>
        <v>714193</v>
      </c>
      <c r="F16" s="384">
        <f>+'6.sz. Beruházások'!E69</f>
        <v>508000</v>
      </c>
      <c r="G16" s="384">
        <f>+'6.sz. Beruházások'!E70</f>
        <v>798586</v>
      </c>
      <c r="H16" s="384"/>
      <c r="I16" s="384">
        <f t="shared" si="0"/>
        <v>2020779</v>
      </c>
    </row>
    <row r="17" spans="1:9" ht="21.75" customHeight="1">
      <c r="A17" s="49" t="s">
        <v>255</v>
      </c>
      <c r="B17" s="52" t="s">
        <v>408</v>
      </c>
      <c r="C17" s="250" t="s">
        <v>264</v>
      </c>
      <c r="D17" s="384"/>
      <c r="E17" s="384"/>
      <c r="F17" s="384"/>
      <c r="G17" s="384"/>
      <c r="H17" s="384"/>
      <c r="I17" s="384">
        <f t="shared" si="0"/>
        <v>0</v>
      </c>
    </row>
    <row r="18" spans="1:9" ht="21.75" customHeight="1">
      <c r="A18" s="49" t="s">
        <v>256</v>
      </c>
      <c r="B18" s="52" t="s">
        <v>293</v>
      </c>
      <c r="C18" s="250" t="s">
        <v>265</v>
      </c>
      <c r="D18" s="384"/>
      <c r="E18" s="384"/>
      <c r="F18" s="384"/>
      <c r="G18" s="384"/>
      <c r="H18" s="384"/>
      <c r="I18" s="384">
        <f t="shared" si="0"/>
        <v>0</v>
      </c>
    </row>
    <row r="19" spans="1:9" ht="21.75" customHeight="1">
      <c r="A19" s="49" t="s">
        <v>283</v>
      </c>
      <c r="B19" s="53" t="s">
        <v>158</v>
      </c>
      <c r="C19" s="250"/>
      <c r="D19" s="384"/>
      <c r="E19" s="384"/>
      <c r="F19" s="384"/>
      <c r="G19" s="384"/>
      <c r="H19" s="384"/>
      <c r="I19" s="384">
        <f t="shared" si="0"/>
        <v>0</v>
      </c>
    </row>
    <row r="20" spans="1:10" ht="21.75" customHeight="1">
      <c r="A20" s="49" t="s">
        <v>284</v>
      </c>
      <c r="B20" s="55" t="s">
        <v>294</v>
      </c>
      <c r="C20" s="250" t="s">
        <v>266</v>
      </c>
      <c r="D20" s="384">
        <f>+D8+D9+D10+D11+D12+D16+D17+D18+D15</f>
        <v>462754</v>
      </c>
      <c r="E20" s="384">
        <f>+E8+E9+E10+E11+E12+E16+E17+E18+E15</f>
        <v>51856301</v>
      </c>
      <c r="F20" s="384">
        <f>+F8+F9+F10+F11+F12+F16+F17+F18+F15</f>
        <v>129556133</v>
      </c>
      <c r="G20" s="384">
        <f>+G8+G9+G10+G11+G12+G16+G17+G18+G15</f>
        <v>96610396</v>
      </c>
      <c r="H20" s="384">
        <f>+H8+H9+H10+H11+H12+H16+H17+H18+H15</f>
        <v>0</v>
      </c>
      <c r="I20" s="384">
        <f t="shared" si="0"/>
        <v>278485584</v>
      </c>
      <c r="J20" s="165">
        <f>I8+I9+I10+I11+I12+I16+I17+I18</f>
        <v>278485584</v>
      </c>
    </row>
    <row r="21" spans="1:9" ht="21.75" customHeight="1">
      <c r="A21" s="49" t="s">
        <v>285</v>
      </c>
      <c r="B21" s="55" t="s">
        <v>279</v>
      </c>
      <c r="C21" s="250" t="s">
        <v>275</v>
      </c>
      <c r="D21" s="384">
        <f>SUM(D22:D25)</f>
        <v>0</v>
      </c>
      <c r="E21" s="384">
        <f>SUM(E22:E25)</f>
        <v>0</v>
      </c>
      <c r="F21" s="384">
        <f>SUM(F22:F25)</f>
        <v>0</v>
      </c>
      <c r="G21" s="384">
        <f>SUM(G22:G25)</f>
        <v>0</v>
      </c>
      <c r="H21" s="384">
        <f>SUM(H22:H25)</f>
        <v>0</v>
      </c>
      <c r="I21" s="384">
        <f t="shared" si="0"/>
        <v>0</v>
      </c>
    </row>
    <row r="22" spans="1:9" ht="21.75" customHeight="1">
      <c r="A22" s="49" t="s">
        <v>286</v>
      </c>
      <c r="B22" s="177" t="s">
        <v>232</v>
      </c>
      <c r="C22" s="251"/>
      <c r="D22" s="384"/>
      <c r="E22" s="384"/>
      <c r="F22" s="384"/>
      <c r="G22" s="384"/>
      <c r="H22" s="384"/>
      <c r="I22" s="384">
        <f t="shared" si="0"/>
        <v>0</v>
      </c>
    </row>
    <row r="23" spans="1:9" ht="21.75" customHeight="1">
      <c r="A23" s="49" t="s">
        <v>287</v>
      </c>
      <c r="B23" s="56" t="s">
        <v>741</v>
      </c>
      <c r="C23" s="251"/>
      <c r="D23" s="384"/>
      <c r="E23" s="384"/>
      <c r="F23" s="384"/>
      <c r="G23" s="384"/>
      <c r="H23" s="384"/>
      <c r="I23" s="384">
        <f t="shared" si="0"/>
        <v>0</v>
      </c>
    </row>
    <row r="24" spans="1:9" ht="21.75" customHeight="1">
      <c r="A24" s="49" t="s">
        <v>288</v>
      </c>
      <c r="B24" s="56" t="s">
        <v>742</v>
      </c>
      <c r="C24" s="251"/>
      <c r="D24" s="384"/>
      <c r="E24" s="384"/>
      <c r="F24" s="384"/>
      <c r="G24" s="384"/>
      <c r="H24" s="384"/>
      <c r="I24" s="384">
        <f t="shared" si="0"/>
        <v>0</v>
      </c>
    </row>
    <row r="25" spans="1:9" ht="21.75" customHeight="1">
      <c r="A25" s="49" t="s">
        <v>289</v>
      </c>
      <c r="B25" s="56" t="s">
        <v>160</v>
      </c>
      <c r="C25" s="251"/>
      <c r="D25" s="384"/>
      <c r="E25" s="384"/>
      <c r="F25" s="384"/>
      <c r="G25" s="384"/>
      <c r="H25" s="384"/>
      <c r="I25" s="384">
        <f t="shared" si="0"/>
        <v>0</v>
      </c>
    </row>
    <row r="26" spans="1:9" ht="21.75" customHeight="1">
      <c r="A26" s="49" t="s">
        <v>290</v>
      </c>
      <c r="B26" s="510" t="s">
        <v>1408</v>
      </c>
      <c r="C26" s="251"/>
      <c r="D26" s="384"/>
      <c r="E26" s="384"/>
      <c r="F26" s="384"/>
      <c r="G26" s="384"/>
      <c r="H26" s="384"/>
      <c r="I26" s="384"/>
    </row>
    <row r="27" spans="1:9" s="58" customFormat="1" ht="21.75" customHeight="1">
      <c r="A27" s="49" t="s">
        <v>291</v>
      </c>
      <c r="B27" s="57" t="s">
        <v>33</v>
      </c>
      <c r="C27" s="250"/>
      <c r="D27" s="385">
        <f>+D8+D9+D10+D11+D12+D22+D23</f>
        <v>462754</v>
      </c>
      <c r="E27" s="385">
        <f>+E8+E9+E10+E11+E12+E22+E23</f>
        <v>51142108</v>
      </c>
      <c r="F27" s="385">
        <f>+F8+F9+F10+F11+F12+F22+F23</f>
        <v>129048133</v>
      </c>
      <c r="G27" s="385">
        <f>+G8+G9+G10+G11+G12+G22+G23</f>
        <v>95811810</v>
      </c>
      <c r="H27" s="385">
        <f>+H8+H9+H10+H11+H12+H22+H23</f>
        <v>0</v>
      </c>
      <c r="I27" s="385">
        <f t="shared" si="0"/>
        <v>276464805</v>
      </c>
    </row>
    <row r="28" spans="1:9" s="58" customFormat="1" ht="21.75" customHeight="1">
      <c r="A28" s="49" t="s">
        <v>322</v>
      </c>
      <c r="B28" s="57" t="s">
        <v>34</v>
      </c>
      <c r="C28" s="250"/>
      <c r="D28" s="385">
        <f>+D16+D17+D18+D24+D25</f>
        <v>0</v>
      </c>
      <c r="E28" s="385">
        <f>+E16+E17+E18+E24+E25</f>
        <v>714193</v>
      </c>
      <c r="F28" s="385">
        <f>+F16+F17+F18+F24+F25</f>
        <v>508000</v>
      </c>
      <c r="G28" s="385">
        <f>+G16+G17+G18+G24+G25</f>
        <v>798586</v>
      </c>
      <c r="H28" s="385">
        <f>+H16+H17+H18+H24+H25</f>
        <v>0</v>
      </c>
      <c r="I28" s="385">
        <f t="shared" si="0"/>
        <v>2020779</v>
      </c>
    </row>
    <row r="29" spans="1:9" s="58" customFormat="1" ht="21.75" customHeight="1">
      <c r="A29" s="49" t="s">
        <v>323</v>
      </c>
      <c r="B29" s="57" t="s">
        <v>398</v>
      </c>
      <c r="C29" s="250" t="s">
        <v>32</v>
      </c>
      <c r="D29" s="385">
        <f>SUM(D27:D28)</f>
        <v>462754</v>
      </c>
      <c r="E29" s="385">
        <f>SUM(E27:E28)</f>
        <v>51856301</v>
      </c>
      <c r="F29" s="385">
        <f>SUM(F27:F28)</f>
        <v>129556133</v>
      </c>
      <c r="G29" s="385">
        <f>SUM(G27:G28)</f>
        <v>96610396</v>
      </c>
      <c r="H29" s="385">
        <f>SUM(H27:H28)</f>
        <v>0</v>
      </c>
      <c r="I29" s="385">
        <f t="shared" si="0"/>
        <v>278485584</v>
      </c>
    </row>
    <row r="30" spans="1:9" ht="21.75" customHeight="1">
      <c r="A30" s="49" t="s">
        <v>324</v>
      </c>
      <c r="B30" s="51" t="s">
        <v>54</v>
      </c>
      <c r="C30" s="55" t="s">
        <v>267</v>
      </c>
      <c r="D30" s="384"/>
      <c r="E30" s="384"/>
      <c r="F30" s="384"/>
      <c r="G30" s="384"/>
      <c r="H30" s="384"/>
      <c r="I30" s="384">
        <f t="shared" si="0"/>
        <v>0</v>
      </c>
    </row>
    <row r="31" spans="1:9" ht="21.75" customHeight="1">
      <c r="A31" s="49" t="s">
        <v>325</v>
      </c>
      <c r="B31" s="51" t="s">
        <v>278</v>
      </c>
      <c r="C31" s="55" t="s">
        <v>268</v>
      </c>
      <c r="D31" s="384"/>
      <c r="E31" s="384"/>
      <c r="F31" s="384"/>
      <c r="G31" s="384"/>
      <c r="H31" s="384"/>
      <c r="I31" s="384">
        <f t="shared" si="0"/>
        <v>0</v>
      </c>
    </row>
    <row r="32" spans="1:9" ht="21.75" customHeight="1">
      <c r="A32" s="49" t="s">
        <v>326</v>
      </c>
      <c r="B32" s="51" t="s">
        <v>277</v>
      </c>
      <c r="C32" s="55" t="s">
        <v>269</v>
      </c>
      <c r="D32" s="384"/>
      <c r="E32" s="384"/>
      <c r="F32" s="384"/>
      <c r="G32" s="384"/>
      <c r="H32" s="384"/>
      <c r="I32" s="384">
        <f t="shared" si="0"/>
        <v>0</v>
      </c>
    </row>
    <row r="33" spans="1:9" ht="21.75" customHeight="1">
      <c r="A33" s="49" t="s">
        <v>327</v>
      </c>
      <c r="B33" s="52" t="s">
        <v>0</v>
      </c>
      <c r="C33" s="55" t="s">
        <v>270</v>
      </c>
      <c r="D33" s="384"/>
      <c r="E33" s="386">
        <v>4445000</v>
      </c>
      <c r="F33" s="386">
        <v>5800000</v>
      </c>
      <c r="G33" s="386">
        <v>4500000</v>
      </c>
      <c r="H33" s="384">
        <v>462754</v>
      </c>
      <c r="I33" s="384">
        <f t="shared" si="0"/>
        <v>15207754</v>
      </c>
    </row>
    <row r="34" spans="1:9" ht="21.75" customHeight="1">
      <c r="A34" s="49" t="s">
        <v>328</v>
      </c>
      <c r="B34" s="51" t="s">
        <v>300</v>
      </c>
      <c r="C34" s="55" t="s">
        <v>271</v>
      </c>
      <c r="D34" s="384"/>
      <c r="E34" s="384"/>
      <c r="F34" s="384"/>
      <c r="G34" s="384"/>
      <c r="H34" s="384"/>
      <c r="I34" s="384">
        <f t="shared" si="0"/>
        <v>0</v>
      </c>
    </row>
    <row r="35" spans="1:9" ht="21.75" customHeight="1">
      <c r="A35" s="49" t="s">
        <v>329</v>
      </c>
      <c r="B35" s="51" t="s">
        <v>295</v>
      </c>
      <c r="C35" s="55" t="s">
        <v>272</v>
      </c>
      <c r="D35" s="384"/>
      <c r="E35" s="384"/>
      <c r="F35" s="384"/>
      <c r="G35" s="384"/>
      <c r="H35" s="384"/>
      <c r="I35" s="384">
        <f t="shared" si="0"/>
        <v>0</v>
      </c>
    </row>
    <row r="36" spans="1:9" ht="21.75" customHeight="1">
      <c r="A36" s="49" t="s">
        <v>330</v>
      </c>
      <c r="B36" s="51" t="s">
        <v>296</v>
      </c>
      <c r="C36" s="55" t="s">
        <v>273</v>
      </c>
      <c r="D36" s="384"/>
      <c r="E36" s="384"/>
      <c r="F36" s="384"/>
      <c r="G36" s="384"/>
      <c r="H36" s="384"/>
      <c r="I36" s="384">
        <f t="shared" si="0"/>
        <v>0</v>
      </c>
    </row>
    <row r="37" spans="1:9" ht="21.75" customHeight="1">
      <c r="A37" s="49" t="s">
        <v>331</v>
      </c>
      <c r="B37" s="52" t="s">
        <v>297</v>
      </c>
      <c r="C37" s="55" t="s">
        <v>274</v>
      </c>
      <c r="D37" s="384">
        <f>+D30+D31+D32+D33+D34+D35+D36</f>
        <v>0</v>
      </c>
      <c r="E37" s="384">
        <f>+E30+E31+E32+E33+E34+E35+E36</f>
        <v>4445000</v>
      </c>
      <c r="F37" s="384">
        <f>+F30+F31+F32+F33+F34+F35+F36</f>
        <v>5800000</v>
      </c>
      <c r="G37" s="384">
        <f>+G30+G31+G32+G33+G34+G35+G36</f>
        <v>4500000</v>
      </c>
      <c r="H37" s="384">
        <f>+H30+H31+H32+H33+H34+H35+H36</f>
        <v>462754</v>
      </c>
      <c r="I37" s="384">
        <f t="shared" si="0"/>
        <v>15207754</v>
      </c>
    </row>
    <row r="38" spans="1:10" ht="21.75" customHeight="1">
      <c r="A38" s="49" t="s">
        <v>332</v>
      </c>
      <c r="B38" s="55" t="s">
        <v>298</v>
      </c>
      <c r="C38" s="250" t="s">
        <v>276</v>
      </c>
      <c r="D38" s="384">
        <f>SUM(D40:D44)</f>
        <v>263277830</v>
      </c>
      <c r="E38" s="384">
        <f>SUM(E40:E44)</f>
        <v>0</v>
      </c>
      <c r="F38" s="384">
        <f>SUM(F40:F44)</f>
        <v>0</v>
      </c>
      <c r="G38" s="384">
        <f>SUM(G40:G44)</f>
        <v>0</v>
      </c>
      <c r="H38" s="384">
        <f>SUM(H40:H44)</f>
        <v>0</v>
      </c>
      <c r="I38" s="384">
        <f t="shared" si="0"/>
        <v>263277830</v>
      </c>
      <c r="J38" s="165">
        <f>SUM(I30:I37)</f>
        <v>30415508</v>
      </c>
    </row>
    <row r="39" spans="1:10" ht="21.75" customHeight="1">
      <c r="A39" s="49" t="s">
        <v>333</v>
      </c>
      <c r="B39" s="177" t="s">
        <v>754</v>
      </c>
      <c r="C39" s="250"/>
      <c r="D39" s="384"/>
      <c r="E39" s="384"/>
      <c r="F39" s="384"/>
      <c r="G39" s="384"/>
      <c r="H39" s="384"/>
      <c r="I39" s="384"/>
      <c r="J39" s="165"/>
    </row>
    <row r="40" spans="1:9" ht="21.75" customHeight="1">
      <c r="A40" s="49" t="s">
        <v>334</v>
      </c>
      <c r="B40" s="56" t="s">
        <v>713</v>
      </c>
      <c r="C40" s="251"/>
      <c r="D40" s="384"/>
      <c r="E40" s="384"/>
      <c r="F40" s="384"/>
      <c r="G40" s="384"/>
      <c r="H40" s="384"/>
      <c r="I40" s="384">
        <f t="shared" si="0"/>
        <v>0</v>
      </c>
    </row>
    <row r="41" spans="1:9" ht="21.75" customHeight="1">
      <c r="A41" s="49" t="s">
        <v>341</v>
      </c>
      <c r="B41" s="56" t="s">
        <v>714</v>
      </c>
      <c r="C41" s="251"/>
      <c r="D41" s="384"/>
      <c r="E41" s="384"/>
      <c r="F41" s="384"/>
      <c r="G41" s="384"/>
      <c r="H41" s="384"/>
      <c r="I41" s="384">
        <f t="shared" si="0"/>
        <v>0</v>
      </c>
    </row>
    <row r="42" spans="1:9" ht="21.75" customHeight="1">
      <c r="A42" s="49" t="s">
        <v>342</v>
      </c>
      <c r="B42" s="56" t="s">
        <v>715</v>
      </c>
      <c r="C42" s="251"/>
      <c r="D42" s="384">
        <f>I27-I30-I32-I33-I35-I40</f>
        <v>261257051</v>
      </c>
      <c r="E42" s="384"/>
      <c r="F42" s="384"/>
      <c r="G42" s="384"/>
      <c r="H42" s="384"/>
      <c r="I42" s="384">
        <f t="shared" si="0"/>
        <v>261257051</v>
      </c>
    </row>
    <row r="43" spans="1:9" ht="21.75" customHeight="1">
      <c r="A43" s="49" t="s">
        <v>343</v>
      </c>
      <c r="B43" s="56" t="s">
        <v>716</v>
      </c>
      <c r="C43" s="251"/>
      <c r="D43" s="384">
        <f>I28-I31-I34-I36-I41</f>
        <v>2020779</v>
      </c>
      <c r="E43" s="384"/>
      <c r="F43" s="384"/>
      <c r="G43" s="384"/>
      <c r="H43" s="384"/>
      <c r="I43" s="384">
        <f t="shared" si="0"/>
        <v>2020779</v>
      </c>
    </row>
    <row r="44" spans="1:9" ht="21.75" customHeight="1">
      <c r="A44" s="49" t="s">
        <v>344</v>
      </c>
      <c r="B44" s="56" t="s">
        <v>769</v>
      </c>
      <c r="C44" s="251"/>
      <c r="D44" s="384"/>
      <c r="E44" s="384"/>
      <c r="F44" s="384"/>
      <c r="G44" s="384"/>
      <c r="H44" s="384"/>
      <c r="I44" s="384">
        <f t="shared" si="0"/>
        <v>0</v>
      </c>
    </row>
    <row r="45" spans="1:9" ht="21.75" customHeight="1">
      <c r="A45" s="49" t="s">
        <v>345</v>
      </c>
      <c r="B45" s="510" t="s">
        <v>1409</v>
      </c>
      <c r="C45" s="251"/>
      <c r="D45" s="384"/>
      <c r="E45" s="384"/>
      <c r="F45" s="384"/>
      <c r="G45" s="384"/>
      <c r="H45" s="384"/>
      <c r="I45" s="384"/>
    </row>
    <row r="46" spans="1:9" ht="21.75" customHeight="1">
      <c r="A46" s="49" t="s">
        <v>346</v>
      </c>
      <c r="B46" s="57" t="s">
        <v>145</v>
      </c>
      <c r="C46" s="250"/>
      <c r="D46" s="385">
        <f>+D30+D32+D33+D35+D40+D42</f>
        <v>261257051</v>
      </c>
      <c r="E46" s="385">
        <f>+E30+E32+E33+E35+E40+E42</f>
        <v>4445000</v>
      </c>
      <c r="F46" s="385">
        <f>+F30+F32+F33+F35+F40+F42</f>
        <v>5800000</v>
      </c>
      <c r="G46" s="385">
        <f>+G30+G32+G33+G35+G40+G42</f>
        <v>4500000</v>
      </c>
      <c r="H46" s="385">
        <f>+H30+H32+H33+H35+H40+H42</f>
        <v>462754</v>
      </c>
      <c r="I46" s="385">
        <f>SUM(D46:H46)</f>
        <v>276464805</v>
      </c>
    </row>
    <row r="47" spans="1:9" ht="21.75" customHeight="1">
      <c r="A47" s="49" t="s">
        <v>347</v>
      </c>
      <c r="B47" s="57" t="s">
        <v>146</v>
      </c>
      <c r="C47" s="250"/>
      <c r="D47" s="385">
        <f>+D31+D34+D36+D41+D428+D44+D43</f>
        <v>2020779</v>
      </c>
      <c r="E47" s="385">
        <f>+E31+E34+E36+E41+E428+E44+E43</f>
        <v>0</v>
      </c>
      <c r="F47" s="385">
        <f>+F31+F34+F36+F41+F428+F44+F43</f>
        <v>0</v>
      </c>
      <c r="G47" s="385">
        <f>+G31+G34+G36+G41+G428+G44+G43</f>
        <v>0</v>
      </c>
      <c r="H47" s="385">
        <f>+H31+H34+H36+H41+H428+H44+H43</f>
        <v>0</v>
      </c>
      <c r="I47" s="385">
        <f t="shared" si="0"/>
        <v>2020779</v>
      </c>
    </row>
    <row r="48" spans="1:11" ht="21.75" customHeight="1">
      <c r="A48" s="49" t="s">
        <v>348</v>
      </c>
      <c r="B48" s="57" t="s">
        <v>399</v>
      </c>
      <c r="C48" s="250"/>
      <c r="D48" s="385">
        <f>+D46+D47</f>
        <v>263277830</v>
      </c>
      <c r="E48" s="385">
        <f>+E46+E47</f>
        <v>4445000</v>
      </c>
      <c r="F48" s="385">
        <f>+F46+F47</f>
        <v>5800000</v>
      </c>
      <c r="G48" s="385">
        <f>+G46+G47</f>
        <v>4500000</v>
      </c>
      <c r="H48" s="385">
        <f>+H46+H47</f>
        <v>462754</v>
      </c>
      <c r="I48" s="385">
        <f t="shared" si="0"/>
        <v>278485584</v>
      </c>
      <c r="K48" s="165">
        <f>I48-I29</f>
        <v>0</v>
      </c>
    </row>
    <row r="49" spans="1:9" ht="21.75" customHeight="1">
      <c r="A49" s="49" t="s">
        <v>349</v>
      </c>
      <c r="B49" s="90" t="s">
        <v>551</v>
      </c>
      <c r="C49" s="387"/>
      <c r="D49" s="384"/>
      <c r="E49" s="384">
        <f>'12.sz.mell. Létszámtábla'!C17</f>
        <v>5</v>
      </c>
      <c r="F49" s="384">
        <f>'12.sz.mell. Létszámtábla'!C18</f>
        <v>24</v>
      </c>
      <c r="G49" s="384">
        <f>'12.sz.mell. Létszámtábla'!C19</f>
        <v>20</v>
      </c>
      <c r="H49" s="384"/>
      <c r="I49" s="384">
        <f>SUM(E49:H49)</f>
        <v>49</v>
      </c>
    </row>
    <row r="50" spans="1:9" ht="21.75" customHeight="1">
      <c r="A50" s="49" t="s">
        <v>350</v>
      </c>
      <c r="B50" s="90" t="s">
        <v>899</v>
      </c>
      <c r="C50" s="387"/>
      <c r="D50" s="384"/>
      <c r="E50" s="384"/>
      <c r="F50" s="470"/>
      <c r="G50" s="384"/>
      <c r="H50" s="384"/>
      <c r="I50" s="470">
        <f>SUM(E50:H50)</f>
        <v>0</v>
      </c>
    </row>
  </sheetData>
  <sheetProtection/>
  <mergeCells count="12">
    <mergeCell ref="H5:H6"/>
    <mergeCell ref="G5:G6"/>
    <mergeCell ref="I3:I6"/>
    <mergeCell ref="A2:C2"/>
    <mergeCell ref="D2:I2"/>
    <mergeCell ref="F5:F6"/>
    <mergeCell ref="D5:D6"/>
    <mergeCell ref="E5:E6"/>
    <mergeCell ref="B4:C4"/>
    <mergeCell ref="B5:C5"/>
    <mergeCell ref="A3:A6"/>
    <mergeCell ref="B3:C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200" verticalDpi="200" orientation="portrait" paperSize="9" scale="52" r:id="rId1"/>
  <headerFooter alignWithMargins="0">
    <oddHeader>&amp;C2019. évi költségvetés&amp;R&amp;A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view="pageBreakPreview" zoomScale="80" zoomScaleSheetLayoutView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" sqref="J5:J6"/>
    </sheetView>
  </sheetViews>
  <sheetFormatPr defaultColWidth="9.00390625" defaultRowHeight="12.75"/>
  <cols>
    <col min="1" max="1" width="7.125" style="41" customWidth="1"/>
    <col min="2" max="2" width="64.875" style="41" customWidth="1"/>
    <col min="3" max="3" width="7.75390625" style="41" customWidth="1"/>
    <col min="4" max="4" width="19.125" style="42" customWidth="1"/>
    <col min="5" max="5" width="18.125" style="42" customWidth="1"/>
    <col min="6" max="6" width="17.625" style="42" customWidth="1"/>
    <col min="7" max="7" width="19.00390625" style="42" customWidth="1"/>
    <col min="8" max="10" width="17.875" style="42" customWidth="1"/>
    <col min="11" max="11" width="14.625" style="42" customWidth="1"/>
    <col min="12" max="12" width="15.125" style="41" customWidth="1"/>
    <col min="13" max="16384" width="9.125" style="41" customWidth="1"/>
  </cols>
  <sheetData>
    <row r="1" spans="1:11" ht="15.75">
      <c r="A1" s="376"/>
      <c r="B1" s="376"/>
      <c r="C1" s="376"/>
      <c r="D1" s="378"/>
      <c r="E1" s="378"/>
      <c r="F1" s="379"/>
      <c r="G1" s="379" t="s">
        <v>541</v>
      </c>
      <c r="H1" s="378"/>
      <c r="I1" s="378"/>
      <c r="J1" s="378"/>
      <c r="K1" s="379" t="s">
        <v>541</v>
      </c>
    </row>
    <row r="2" spans="1:11" ht="46.5" customHeight="1">
      <c r="A2" s="1204" t="s">
        <v>176</v>
      </c>
      <c r="B2" s="1204"/>
      <c r="C2" s="1204"/>
      <c r="D2" s="1209" t="s">
        <v>921</v>
      </c>
      <c r="E2" s="1210"/>
      <c r="F2" s="1210"/>
      <c r="G2" s="1213"/>
      <c r="H2" s="1209" t="s">
        <v>921</v>
      </c>
      <c r="I2" s="1210"/>
      <c r="J2" s="1210"/>
      <c r="K2" s="1213"/>
    </row>
    <row r="3" spans="1:11" s="44" customFormat="1" ht="88.5" customHeight="1">
      <c r="A3" s="1203" t="s">
        <v>244</v>
      </c>
      <c r="B3" s="1204" t="s">
        <v>302</v>
      </c>
      <c r="C3" s="1204"/>
      <c r="D3" s="380" t="s">
        <v>605</v>
      </c>
      <c r="E3" s="390" t="s">
        <v>543</v>
      </c>
      <c r="F3" s="381" t="s">
        <v>530</v>
      </c>
      <c r="G3" s="381" t="s">
        <v>414</v>
      </c>
      <c r="H3" s="381" t="s">
        <v>619</v>
      </c>
      <c r="I3" s="381" t="s">
        <v>638</v>
      </c>
      <c r="J3" s="390" t="s">
        <v>543</v>
      </c>
      <c r="K3" s="1206" t="s">
        <v>178</v>
      </c>
    </row>
    <row r="4" spans="1:11" s="44" customFormat="1" ht="25.5" customHeight="1">
      <c r="A4" s="1203"/>
      <c r="B4" s="1204" t="s">
        <v>12</v>
      </c>
      <c r="C4" s="1204"/>
      <c r="D4" s="380" t="s">
        <v>280</v>
      </c>
      <c r="E4" s="380" t="s">
        <v>280</v>
      </c>
      <c r="F4" s="380" t="s">
        <v>280</v>
      </c>
      <c r="G4" s="380" t="s">
        <v>280</v>
      </c>
      <c r="H4" s="380" t="s">
        <v>280</v>
      </c>
      <c r="I4" s="380" t="s">
        <v>280</v>
      </c>
      <c r="J4" s="381" t="s">
        <v>280</v>
      </c>
      <c r="K4" s="1206"/>
    </row>
    <row r="5" spans="1:11" s="44" customFormat="1" ht="15.75" customHeight="1">
      <c r="A5" s="1203"/>
      <c r="B5" s="1188" t="s">
        <v>1308</v>
      </c>
      <c r="C5" s="1188"/>
      <c r="D5" s="1206" t="s">
        <v>425</v>
      </c>
      <c r="E5" s="1206" t="s">
        <v>529</v>
      </c>
      <c r="F5" s="1206" t="s">
        <v>1495</v>
      </c>
      <c r="G5" s="1206" t="s">
        <v>1496</v>
      </c>
      <c r="H5" s="1214" t="s">
        <v>618</v>
      </c>
      <c r="I5" s="1216" t="s">
        <v>1497</v>
      </c>
      <c r="J5" s="1207" t="s">
        <v>617</v>
      </c>
      <c r="K5" s="1206"/>
    </row>
    <row r="6" spans="1:12" ht="73.5" customHeight="1">
      <c r="A6" s="1203"/>
      <c r="B6" s="45" t="s">
        <v>245</v>
      </c>
      <c r="C6" s="248" t="s">
        <v>303</v>
      </c>
      <c r="D6" s="1206"/>
      <c r="E6" s="1206"/>
      <c r="F6" s="1206"/>
      <c r="G6" s="1206"/>
      <c r="H6" s="1215"/>
      <c r="I6" s="1217"/>
      <c r="J6" s="1208"/>
      <c r="K6" s="1206"/>
      <c r="L6" s="210"/>
    </row>
    <row r="7" spans="1:11" ht="15.75">
      <c r="A7" s="47" t="s">
        <v>246</v>
      </c>
      <c r="B7" s="48" t="s">
        <v>247</v>
      </c>
      <c r="C7" s="48" t="s">
        <v>248</v>
      </c>
      <c r="D7" s="383" t="s">
        <v>249</v>
      </c>
      <c r="E7" s="383" t="s">
        <v>250</v>
      </c>
      <c r="F7" s="383" t="s">
        <v>251</v>
      </c>
      <c r="G7" s="383" t="s">
        <v>252</v>
      </c>
      <c r="H7" s="383" t="s">
        <v>253</v>
      </c>
      <c r="I7" s="383" t="s">
        <v>254</v>
      </c>
      <c r="J7" s="383" t="s">
        <v>255</v>
      </c>
      <c r="K7" s="383" t="s">
        <v>256</v>
      </c>
    </row>
    <row r="8" spans="1:13" ht="21.75" customHeight="1">
      <c r="A8" s="49" t="s">
        <v>246</v>
      </c>
      <c r="B8" s="46" t="s">
        <v>405</v>
      </c>
      <c r="C8" s="50" t="s">
        <v>257</v>
      </c>
      <c r="D8" s="384"/>
      <c r="E8" s="384">
        <v>46853483</v>
      </c>
      <c r="F8" s="384"/>
      <c r="G8" s="384"/>
      <c r="H8" s="384"/>
      <c r="I8" s="384"/>
      <c r="J8" s="384"/>
      <c r="K8" s="384">
        <f aca="true" t="shared" si="0" ref="K8:K14">SUM(D8:J8)</f>
        <v>46853483</v>
      </c>
      <c r="L8" s="41">
        <v>37949196</v>
      </c>
      <c r="M8" s="165">
        <f>+L8-K8</f>
        <v>-8904287</v>
      </c>
    </row>
    <row r="9" spans="1:13" ht="21.75" customHeight="1">
      <c r="A9" s="49" t="s">
        <v>247</v>
      </c>
      <c r="B9" s="51" t="s">
        <v>258</v>
      </c>
      <c r="C9" s="50" t="s">
        <v>259</v>
      </c>
      <c r="D9" s="384"/>
      <c r="E9" s="384">
        <v>9775175</v>
      </c>
      <c r="F9" s="384"/>
      <c r="G9" s="384"/>
      <c r="H9" s="384"/>
      <c r="I9" s="384"/>
      <c r="J9" s="384"/>
      <c r="K9" s="384">
        <f t="shared" si="0"/>
        <v>9775175</v>
      </c>
      <c r="L9" s="41">
        <v>7973129</v>
      </c>
      <c r="M9" s="165">
        <f>+L9-K9</f>
        <v>-1802046</v>
      </c>
    </row>
    <row r="10" spans="1:13" ht="21.75" customHeight="1">
      <c r="A10" s="49" t="s">
        <v>248</v>
      </c>
      <c r="B10" s="51" t="s">
        <v>406</v>
      </c>
      <c r="C10" s="50" t="s">
        <v>260</v>
      </c>
      <c r="D10" s="384"/>
      <c r="E10" s="384">
        <f>8107600+50238</f>
        <v>8157838</v>
      </c>
      <c r="F10" s="384">
        <v>5000000</v>
      </c>
      <c r="G10" s="384">
        <v>341300</v>
      </c>
      <c r="H10" s="384"/>
      <c r="I10" s="384">
        <v>1400000</v>
      </c>
      <c r="J10" s="384">
        <v>1812</v>
      </c>
      <c r="K10" s="384">
        <f t="shared" si="0"/>
        <v>14900950</v>
      </c>
      <c r="M10" s="165">
        <f>SUM(M8:M9)</f>
        <v>-10706333</v>
      </c>
    </row>
    <row r="11" spans="1:11" ht="21.75" customHeight="1">
      <c r="A11" s="49" t="s">
        <v>249</v>
      </c>
      <c r="B11" s="52" t="s">
        <v>407</v>
      </c>
      <c r="C11" s="50" t="s">
        <v>261</v>
      </c>
      <c r="D11" s="384"/>
      <c r="E11" s="384"/>
      <c r="F11" s="384"/>
      <c r="G11" s="384"/>
      <c r="H11" s="384"/>
      <c r="I11" s="384"/>
      <c r="J11" s="384"/>
      <c r="K11" s="384">
        <f t="shared" si="0"/>
        <v>0</v>
      </c>
    </row>
    <row r="12" spans="1:11" ht="21.75" customHeight="1">
      <c r="A12" s="49" t="s">
        <v>250</v>
      </c>
      <c r="B12" s="52" t="s">
        <v>292</v>
      </c>
      <c r="C12" s="50" t="s">
        <v>262</v>
      </c>
      <c r="D12" s="384">
        <f>SUM(D13:D15)</f>
        <v>0</v>
      </c>
      <c r="E12" s="384"/>
      <c r="F12" s="384"/>
      <c r="G12" s="384"/>
      <c r="H12" s="384"/>
      <c r="I12" s="384"/>
      <c r="J12" s="384"/>
      <c r="K12" s="384">
        <f t="shared" si="0"/>
        <v>0</v>
      </c>
    </row>
    <row r="13" spans="1:11" ht="21.75" customHeight="1">
      <c r="A13" s="49" t="s">
        <v>251</v>
      </c>
      <c r="B13" s="53" t="s">
        <v>159</v>
      </c>
      <c r="C13" s="50"/>
      <c r="D13" s="384"/>
      <c r="E13" s="384"/>
      <c r="F13" s="384"/>
      <c r="G13" s="384"/>
      <c r="H13" s="384"/>
      <c r="I13" s="384"/>
      <c r="J13" s="384"/>
      <c r="K13" s="384">
        <f t="shared" si="0"/>
        <v>0</v>
      </c>
    </row>
    <row r="14" spans="1:11" ht="21.75" customHeight="1">
      <c r="A14" s="49" t="s">
        <v>252</v>
      </c>
      <c r="B14" s="53" t="s">
        <v>148</v>
      </c>
      <c r="C14" s="54"/>
      <c r="D14" s="384"/>
      <c r="E14" s="384"/>
      <c r="F14" s="384"/>
      <c r="G14" s="384"/>
      <c r="H14" s="384"/>
      <c r="I14" s="384"/>
      <c r="J14" s="384"/>
      <c r="K14" s="384">
        <f t="shared" si="0"/>
        <v>0</v>
      </c>
    </row>
    <row r="15" spans="1:11" ht="21.75" customHeight="1">
      <c r="A15" s="49" t="s">
        <v>253</v>
      </c>
      <c r="B15" s="175" t="s">
        <v>738</v>
      </c>
      <c r="C15" s="54"/>
      <c r="D15" s="384"/>
      <c r="E15" s="384"/>
      <c r="F15" s="384"/>
      <c r="G15" s="384"/>
      <c r="H15" s="384"/>
      <c r="I15" s="384"/>
      <c r="J15" s="384"/>
      <c r="K15" s="384"/>
    </row>
    <row r="16" spans="1:11" ht="21.75" customHeight="1">
      <c r="A16" s="49" t="s">
        <v>254</v>
      </c>
      <c r="B16" s="55" t="s">
        <v>299</v>
      </c>
      <c r="C16" s="50" t="s">
        <v>263</v>
      </c>
      <c r="D16" s="384"/>
      <c r="E16" s="384">
        <v>800000</v>
      </c>
      <c r="F16" s="384"/>
      <c r="G16" s="384">
        <v>127000</v>
      </c>
      <c r="H16" s="384"/>
      <c r="I16" s="384"/>
      <c r="J16" s="384"/>
      <c r="K16" s="384">
        <f aca="true" t="shared" si="1" ref="K16:K38">SUM(D16:J16)</f>
        <v>927000</v>
      </c>
    </row>
    <row r="17" spans="1:11" ht="21.75" customHeight="1">
      <c r="A17" s="49" t="s">
        <v>255</v>
      </c>
      <c r="B17" s="52" t="s">
        <v>408</v>
      </c>
      <c r="C17" s="50" t="s">
        <v>264</v>
      </c>
      <c r="D17" s="384"/>
      <c r="E17" s="384"/>
      <c r="F17" s="384"/>
      <c r="G17" s="384"/>
      <c r="H17" s="384"/>
      <c r="I17" s="384"/>
      <c r="J17" s="384"/>
      <c r="K17" s="384">
        <f t="shared" si="1"/>
        <v>0</v>
      </c>
    </row>
    <row r="18" spans="1:11" ht="21.75" customHeight="1">
      <c r="A18" s="49" t="s">
        <v>256</v>
      </c>
      <c r="B18" s="52" t="s">
        <v>293</v>
      </c>
      <c r="C18" s="50" t="s">
        <v>265</v>
      </c>
      <c r="D18" s="384"/>
      <c r="E18" s="384"/>
      <c r="F18" s="384"/>
      <c r="G18" s="384"/>
      <c r="H18" s="384"/>
      <c r="I18" s="384"/>
      <c r="J18" s="384"/>
      <c r="K18" s="384">
        <f t="shared" si="1"/>
        <v>0</v>
      </c>
    </row>
    <row r="19" spans="1:11" ht="21.75" customHeight="1">
      <c r="A19" s="49" t="s">
        <v>283</v>
      </c>
      <c r="B19" s="52" t="s">
        <v>158</v>
      </c>
      <c r="C19" s="50"/>
      <c r="D19" s="384"/>
      <c r="E19" s="384"/>
      <c r="F19" s="384"/>
      <c r="G19" s="384"/>
      <c r="H19" s="384"/>
      <c r="I19" s="384"/>
      <c r="J19" s="384"/>
      <c r="K19" s="384">
        <f t="shared" si="1"/>
        <v>0</v>
      </c>
    </row>
    <row r="20" spans="1:12" ht="21.75" customHeight="1">
      <c r="A20" s="49" t="s">
        <v>284</v>
      </c>
      <c r="B20" s="55" t="s">
        <v>294</v>
      </c>
      <c r="C20" s="50" t="s">
        <v>266</v>
      </c>
      <c r="D20" s="384">
        <f>+D8+D9+D10+D11+D12+D16+D17+D18+D15</f>
        <v>0</v>
      </c>
      <c r="E20" s="384">
        <f aca="true" t="shared" si="2" ref="E20:J20">+E8+E9+E10+E11+E12+E16+E17+E18+E15</f>
        <v>65586496</v>
      </c>
      <c r="F20" s="384">
        <f t="shared" si="2"/>
        <v>5000000</v>
      </c>
      <c r="G20" s="384">
        <f t="shared" si="2"/>
        <v>468300</v>
      </c>
      <c r="H20" s="384">
        <f t="shared" si="2"/>
        <v>0</v>
      </c>
      <c r="I20" s="384">
        <f t="shared" si="2"/>
        <v>1400000</v>
      </c>
      <c r="J20" s="384">
        <f t="shared" si="2"/>
        <v>1812</v>
      </c>
      <c r="K20" s="384">
        <f t="shared" si="1"/>
        <v>72456608</v>
      </c>
      <c r="L20" s="165">
        <f>K8+K9+K10+K11+K12+K16+K17+K18</f>
        <v>72456608</v>
      </c>
    </row>
    <row r="21" spans="1:11" ht="21.75" customHeight="1">
      <c r="A21" s="49" t="s">
        <v>285</v>
      </c>
      <c r="B21" s="55" t="s">
        <v>279</v>
      </c>
      <c r="C21" s="50" t="s">
        <v>275</v>
      </c>
      <c r="D21" s="384">
        <f aca="true" t="shared" si="3" ref="D21:J21">SUM(D22:D25)</f>
        <v>0</v>
      </c>
      <c r="E21" s="384">
        <f t="shared" si="3"/>
        <v>0</v>
      </c>
      <c r="F21" s="384">
        <f t="shared" si="3"/>
        <v>0</v>
      </c>
      <c r="G21" s="384">
        <f t="shared" si="3"/>
        <v>0</v>
      </c>
      <c r="H21" s="384">
        <f t="shared" si="3"/>
        <v>0</v>
      </c>
      <c r="I21" s="384">
        <f t="shared" si="3"/>
        <v>0</v>
      </c>
      <c r="J21" s="384">
        <f t="shared" si="3"/>
        <v>0</v>
      </c>
      <c r="K21" s="384">
        <f t="shared" si="1"/>
        <v>0</v>
      </c>
    </row>
    <row r="22" spans="1:11" ht="21.75" customHeight="1">
      <c r="A22" s="49" t="s">
        <v>286</v>
      </c>
      <c r="B22" s="177" t="s">
        <v>232</v>
      </c>
      <c r="C22" s="54"/>
      <c r="D22" s="384"/>
      <c r="E22" s="384"/>
      <c r="F22" s="384"/>
      <c r="G22" s="384"/>
      <c r="H22" s="384"/>
      <c r="I22" s="384"/>
      <c r="J22" s="384"/>
      <c r="K22" s="384">
        <f t="shared" si="1"/>
        <v>0</v>
      </c>
    </row>
    <row r="23" spans="1:11" ht="21.75" customHeight="1">
      <c r="A23" s="49" t="s">
        <v>287</v>
      </c>
      <c r="B23" s="56" t="s">
        <v>741</v>
      </c>
      <c r="C23" s="54"/>
      <c r="D23" s="384"/>
      <c r="E23" s="384"/>
      <c r="F23" s="384"/>
      <c r="G23" s="384"/>
      <c r="H23" s="384"/>
      <c r="I23" s="384"/>
      <c r="J23" s="384"/>
      <c r="K23" s="384">
        <f t="shared" si="1"/>
        <v>0</v>
      </c>
    </row>
    <row r="24" spans="1:11" ht="21.75" customHeight="1">
      <c r="A24" s="49" t="s">
        <v>288</v>
      </c>
      <c r="B24" s="56" t="s">
        <v>742</v>
      </c>
      <c r="C24" s="54"/>
      <c r="D24" s="384"/>
      <c r="E24" s="384"/>
      <c r="F24" s="384"/>
      <c r="G24" s="384"/>
      <c r="H24" s="384"/>
      <c r="I24" s="384"/>
      <c r="J24" s="384"/>
      <c r="K24" s="384">
        <f t="shared" si="1"/>
        <v>0</v>
      </c>
    </row>
    <row r="25" spans="1:11" ht="21.75" customHeight="1">
      <c r="A25" s="49" t="s">
        <v>289</v>
      </c>
      <c r="B25" s="56" t="s">
        <v>160</v>
      </c>
      <c r="C25" s="54"/>
      <c r="D25" s="384"/>
      <c r="E25" s="384"/>
      <c r="F25" s="384"/>
      <c r="G25" s="384"/>
      <c r="H25" s="384"/>
      <c r="I25" s="384"/>
      <c r="J25" s="384"/>
      <c r="K25" s="384">
        <f t="shared" si="1"/>
        <v>0</v>
      </c>
    </row>
    <row r="26" spans="1:11" ht="21.75" customHeight="1">
      <c r="A26" s="49" t="s">
        <v>290</v>
      </c>
      <c r="B26" s="510" t="s">
        <v>1408</v>
      </c>
      <c r="C26" s="54"/>
      <c r="D26" s="384"/>
      <c r="E26" s="384"/>
      <c r="F26" s="384"/>
      <c r="G26" s="384"/>
      <c r="H26" s="384"/>
      <c r="I26" s="384"/>
      <c r="J26" s="384"/>
      <c r="K26" s="384"/>
    </row>
    <row r="27" spans="1:11" s="58" customFormat="1" ht="21.75" customHeight="1">
      <c r="A27" s="49" t="s">
        <v>291</v>
      </c>
      <c r="B27" s="57" t="s">
        <v>33</v>
      </c>
      <c r="C27" s="50"/>
      <c r="D27" s="385">
        <f aca="true" t="shared" si="4" ref="D27:J27">+D8+D9+D10+D11+D12+D22+D23</f>
        <v>0</v>
      </c>
      <c r="E27" s="385">
        <f t="shared" si="4"/>
        <v>64786496</v>
      </c>
      <c r="F27" s="385">
        <f t="shared" si="4"/>
        <v>5000000</v>
      </c>
      <c r="G27" s="385">
        <f t="shared" si="4"/>
        <v>341300</v>
      </c>
      <c r="H27" s="385">
        <f t="shared" si="4"/>
        <v>0</v>
      </c>
      <c r="I27" s="385">
        <f t="shared" si="4"/>
        <v>1400000</v>
      </c>
      <c r="J27" s="385">
        <f t="shared" si="4"/>
        <v>1812</v>
      </c>
      <c r="K27" s="385">
        <f t="shared" si="1"/>
        <v>71529608</v>
      </c>
    </row>
    <row r="28" spans="1:11" s="58" customFormat="1" ht="21.75" customHeight="1">
      <c r="A28" s="49" t="s">
        <v>322</v>
      </c>
      <c r="B28" s="57" t="s">
        <v>34</v>
      </c>
      <c r="C28" s="50"/>
      <c r="D28" s="385">
        <f aca="true" t="shared" si="5" ref="D28:J28">+D16+D17+D18+D24+D25</f>
        <v>0</v>
      </c>
      <c r="E28" s="385">
        <f t="shared" si="5"/>
        <v>800000</v>
      </c>
      <c r="F28" s="385">
        <f t="shared" si="5"/>
        <v>0</v>
      </c>
      <c r="G28" s="385">
        <f t="shared" si="5"/>
        <v>127000</v>
      </c>
      <c r="H28" s="385">
        <f t="shared" si="5"/>
        <v>0</v>
      </c>
      <c r="I28" s="385">
        <f t="shared" si="5"/>
        <v>0</v>
      </c>
      <c r="J28" s="385">
        <f t="shared" si="5"/>
        <v>0</v>
      </c>
      <c r="K28" s="385">
        <f t="shared" si="1"/>
        <v>927000</v>
      </c>
    </row>
    <row r="29" spans="1:11" s="58" customFormat="1" ht="21.75" customHeight="1">
      <c r="A29" s="49" t="s">
        <v>323</v>
      </c>
      <c r="B29" s="57" t="s">
        <v>398</v>
      </c>
      <c r="C29" s="50" t="s">
        <v>32</v>
      </c>
      <c r="D29" s="385">
        <f aca="true" t="shared" si="6" ref="D29:J29">SUM(D27:D28)</f>
        <v>0</v>
      </c>
      <c r="E29" s="385">
        <f t="shared" si="6"/>
        <v>65586496</v>
      </c>
      <c r="F29" s="385">
        <f t="shared" si="6"/>
        <v>5000000</v>
      </c>
      <c r="G29" s="385">
        <f t="shared" si="6"/>
        <v>468300</v>
      </c>
      <c r="H29" s="385">
        <f t="shared" si="6"/>
        <v>0</v>
      </c>
      <c r="I29" s="385">
        <f t="shared" si="6"/>
        <v>1400000</v>
      </c>
      <c r="J29" s="385">
        <f t="shared" si="6"/>
        <v>1812</v>
      </c>
      <c r="K29" s="385">
        <f t="shared" si="1"/>
        <v>72456608</v>
      </c>
    </row>
    <row r="30" spans="1:11" ht="21.75" customHeight="1">
      <c r="A30" s="49" t="s">
        <v>324</v>
      </c>
      <c r="B30" s="51" t="s">
        <v>54</v>
      </c>
      <c r="C30" s="55" t="s">
        <v>267</v>
      </c>
      <c r="D30" s="384"/>
      <c r="E30" s="384"/>
      <c r="F30" s="384"/>
      <c r="G30" s="384"/>
      <c r="H30" s="384"/>
      <c r="I30" s="384"/>
      <c r="J30" s="384"/>
      <c r="K30" s="384">
        <f t="shared" si="1"/>
        <v>0</v>
      </c>
    </row>
    <row r="31" spans="1:11" ht="21.75" customHeight="1">
      <c r="A31" s="49" t="s">
        <v>325</v>
      </c>
      <c r="B31" s="51" t="s">
        <v>278</v>
      </c>
      <c r="C31" s="55" t="s">
        <v>268</v>
      </c>
      <c r="D31" s="384"/>
      <c r="E31" s="384"/>
      <c r="F31" s="384"/>
      <c r="G31" s="384"/>
      <c r="H31" s="384"/>
      <c r="I31" s="384"/>
      <c r="J31" s="384"/>
      <c r="K31" s="384">
        <f t="shared" si="1"/>
        <v>0</v>
      </c>
    </row>
    <row r="32" spans="1:11" ht="21.75" customHeight="1">
      <c r="A32" s="49" t="s">
        <v>326</v>
      </c>
      <c r="B32" s="51" t="s">
        <v>277</v>
      </c>
      <c r="C32" s="55" t="s">
        <v>269</v>
      </c>
      <c r="D32" s="384"/>
      <c r="E32" s="384"/>
      <c r="F32" s="384"/>
      <c r="G32" s="384"/>
      <c r="H32" s="384"/>
      <c r="I32" s="384"/>
      <c r="J32" s="384"/>
      <c r="K32" s="384">
        <f t="shared" si="1"/>
        <v>0</v>
      </c>
    </row>
    <row r="33" spans="1:11" ht="21.75" customHeight="1">
      <c r="A33" s="49" t="s">
        <v>327</v>
      </c>
      <c r="B33" s="52" t="s">
        <v>0</v>
      </c>
      <c r="C33" s="55" t="s">
        <v>270</v>
      </c>
      <c r="D33" s="384"/>
      <c r="E33" s="384"/>
      <c r="F33" s="384"/>
      <c r="G33" s="384"/>
      <c r="H33" s="384"/>
      <c r="I33" s="384"/>
      <c r="J33" s="384"/>
      <c r="K33" s="384">
        <f t="shared" si="1"/>
        <v>0</v>
      </c>
    </row>
    <row r="34" spans="1:11" ht="21.75" customHeight="1">
      <c r="A34" s="49" t="s">
        <v>328</v>
      </c>
      <c r="B34" s="51" t="s">
        <v>300</v>
      </c>
      <c r="C34" s="55" t="s">
        <v>271</v>
      </c>
      <c r="D34" s="384"/>
      <c r="E34" s="384"/>
      <c r="F34" s="384"/>
      <c r="G34" s="384"/>
      <c r="H34" s="384"/>
      <c r="I34" s="384"/>
      <c r="J34" s="384"/>
      <c r="K34" s="384">
        <f t="shared" si="1"/>
        <v>0</v>
      </c>
    </row>
    <row r="35" spans="1:11" ht="21.75" customHeight="1">
      <c r="A35" s="49" t="s">
        <v>329</v>
      </c>
      <c r="B35" s="51" t="s">
        <v>295</v>
      </c>
      <c r="C35" s="55" t="s">
        <v>272</v>
      </c>
      <c r="D35" s="384"/>
      <c r="E35" s="384"/>
      <c r="F35" s="384"/>
      <c r="G35" s="384"/>
      <c r="H35" s="384"/>
      <c r="I35" s="384"/>
      <c r="J35" s="384"/>
      <c r="K35" s="384">
        <f t="shared" si="1"/>
        <v>0</v>
      </c>
    </row>
    <row r="36" spans="1:11" ht="21.75" customHeight="1">
      <c r="A36" s="49" t="s">
        <v>330</v>
      </c>
      <c r="B36" s="51" t="s">
        <v>296</v>
      </c>
      <c r="C36" s="55" t="s">
        <v>273</v>
      </c>
      <c r="D36" s="384"/>
      <c r="E36" s="384"/>
      <c r="F36" s="384"/>
      <c r="G36" s="384"/>
      <c r="H36" s="384"/>
      <c r="I36" s="384"/>
      <c r="J36" s="384"/>
      <c r="K36" s="384">
        <f t="shared" si="1"/>
        <v>0</v>
      </c>
    </row>
    <row r="37" spans="1:11" ht="21.75" customHeight="1">
      <c r="A37" s="49" t="s">
        <v>331</v>
      </c>
      <c r="B37" s="52" t="s">
        <v>297</v>
      </c>
      <c r="C37" s="55" t="s">
        <v>274</v>
      </c>
      <c r="D37" s="384">
        <f aca="true" t="shared" si="7" ref="D37:J37">+D30+D31+D32+D33+D34+D35+D36</f>
        <v>0</v>
      </c>
      <c r="E37" s="384">
        <f t="shared" si="7"/>
        <v>0</v>
      </c>
      <c r="F37" s="384">
        <f t="shared" si="7"/>
        <v>0</v>
      </c>
      <c r="G37" s="384">
        <f t="shared" si="7"/>
        <v>0</v>
      </c>
      <c r="H37" s="384">
        <f t="shared" si="7"/>
        <v>0</v>
      </c>
      <c r="I37" s="384">
        <f t="shared" si="7"/>
        <v>0</v>
      </c>
      <c r="J37" s="384">
        <f t="shared" si="7"/>
        <v>0</v>
      </c>
      <c r="K37" s="384">
        <f t="shared" si="1"/>
        <v>0</v>
      </c>
    </row>
    <row r="38" spans="1:11" ht="21.75" customHeight="1">
      <c r="A38" s="49" t="s">
        <v>332</v>
      </c>
      <c r="B38" s="55" t="s">
        <v>298</v>
      </c>
      <c r="C38" s="50" t="s">
        <v>276</v>
      </c>
      <c r="D38" s="384">
        <f aca="true" t="shared" si="8" ref="D38:J38">SUM(D40:D44)</f>
        <v>72456608</v>
      </c>
      <c r="E38" s="384">
        <f t="shared" si="8"/>
        <v>0</v>
      </c>
      <c r="F38" s="384">
        <f t="shared" si="8"/>
        <v>0</v>
      </c>
      <c r="G38" s="384">
        <f t="shared" si="8"/>
        <v>0</v>
      </c>
      <c r="H38" s="384">
        <f t="shared" si="8"/>
        <v>0</v>
      </c>
      <c r="I38" s="384">
        <f t="shared" si="8"/>
        <v>0</v>
      </c>
      <c r="J38" s="384">
        <f t="shared" si="8"/>
        <v>0</v>
      </c>
      <c r="K38" s="384">
        <f t="shared" si="1"/>
        <v>72456608</v>
      </c>
    </row>
    <row r="39" spans="1:11" ht="21.75" customHeight="1">
      <c r="A39" s="49" t="s">
        <v>333</v>
      </c>
      <c r="B39" s="177" t="s">
        <v>754</v>
      </c>
      <c r="C39" s="50"/>
      <c r="D39" s="384"/>
      <c r="E39" s="384"/>
      <c r="F39" s="384"/>
      <c r="G39" s="384"/>
      <c r="H39" s="384"/>
      <c r="I39" s="384"/>
      <c r="J39" s="384"/>
      <c r="K39" s="384"/>
    </row>
    <row r="40" spans="1:11" ht="21.75" customHeight="1">
      <c r="A40" s="49" t="s">
        <v>334</v>
      </c>
      <c r="B40" s="56" t="s">
        <v>713</v>
      </c>
      <c r="C40" s="54"/>
      <c r="D40" s="384"/>
      <c r="E40" s="384"/>
      <c r="F40" s="384"/>
      <c r="G40" s="384"/>
      <c r="H40" s="384"/>
      <c r="I40" s="384"/>
      <c r="J40" s="384"/>
      <c r="K40" s="384">
        <f aca="true" t="shared" si="9" ref="K40:K50">SUM(D40:J40)</f>
        <v>0</v>
      </c>
    </row>
    <row r="41" spans="1:11" ht="21.75" customHeight="1">
      <c r="A41" s="49" t="s">
        <v>341</v>
      </c>
      <c r="B41" s="56" t="s">
        <v>714</v>
      </c>
      <c r="C41" s="54"/>
      <c r="D41" s="384"/>
      <c r="E41" s="384"/>
      <c r="F41" s="384"/>
      <c r="G41" s="384"/>
      <c r="H41" s="384"/>
      <c r="I41" s="384"/>
      <c r="J41" s="384"/>
      <c r="K41" s="384">
        <f t="shared" si="9"/>
        <v>0</v>
      </c>
    </row>
    <row r="42" spans="1:11" ht="21.75" customHeight="1">
      <c r="A42" s="49" t="s">
        <v>342</v>
      </c>
      <c r="B42" s="56" t="s">
        <v>715</v>
      </c>
      <c r="C42" s="54"/>
      <c r="D42" s="384">
        <f>+K27-K30-K32-K33-K35-K40</f>
        <v>71529608</v>
      </c>
      <c r="E42" s="384"/>
      <c r="F42" s="384"/>
      <c r="G42" s="384"/>
      <c r="H42" s="384"/>
      <c r="I42" s="384"/>
      <c r="J42" s="384"/>
      <c r="K42" s="384">
        <f t="shared" si="9"/>
        <v>71529608</v>
      </c>
    </row>
    <row r="43" spans="1:11" ht="21.75" customHeight="1">
      <c r="A43" s="49" t="s">
        <v>343</v>
      </c>
      <c r="B43" s="56" t="s">
        <v>716</v>
      </c>
      <c r="C43" s="54"/>
      <c r="D43" s="384">
        <f>+K28-K31-K34-K36-K41</f>
        <v>927000</v>
      </c>
      <c r="E43" s="384"/>
      <c r="F43" s="384"/>
      <c r="G43" s="384"/>
      <c r="H43" s="384"/>
      <c r="I43" s="384"/>
      <c r="J43" s="384"/>
      <c r="K43" s="384">
        <f t="shared" si="9"/>
        <v>927000</v>
      </c>
    </row>
    <row r="44" spans="1:11" ht="21.75" customHeight="1">
      <c r="A44" s="49" t="s">
        <v>344</v>
      </c>
      <c r="B44" s="56" t="s">
        <v>769</v>
      </c>
      <c r="C44" s="54"/>
      <c r="D44" s="384"/>
      <c r="E44" s="384"/>
      <c r="F44" s="384"/>
      <c r="G44" s="384"/>
      <c r="H44" s="384"/>
      <c r="I44" s="384"/>
      <c r="J44" s="384"/>
      <c r="K44" s="384">
        <f t="shared" si="9"/>
        <v>0</v>
      </c>
    </row>
    <row r="45" spans="1:11" ht="21.75" customHeight="1">
      <c r="A45" s="49" t="s">
        <v>345</v>
      </c>
      <c r="B45" s="510" t="s">
        <v>1409</v>
      </c>
      <c r="C45" s="54"/>
      <c r="D45" s="384"/>
      <c r="E45" s="384"/>
      <c r="F45" s="384"/>
      <c r="G45" s="384"/>
      <c r="H45" s="384"/>
      <c r="I45" s="384"/>
      <c r="J45" s="384"/>
      <c r="K45" s="384"/>
    </row>
    <row r="46" spans="1:11" ht="21.75" customHeight="1">
      <c r="A46" s="49" t="s">
        <v>346</v>
      </c>
      <c r="B46" s="57" t="s">
        <v>145</v>
      </c>
      <c r="C46" s="50"/>
      <c r="D46" s="385">
        <f aca="true" t="shared" si="10" ref="D46:J46">+D30+D32+D33+D35+D40+D42</f>
        <v>71529608</v>
      </c>
      <c r="E46" s="385">
        <f t="shared" si="10"/>
        <v>0</v>
      </c>
      <c r="F46" s="385">
        <f t="shared" si="10"/>
        <v>0</v>
      </c>
      <c r="G46" s="385">
        <f t="shared" si="10"/>
        <v>0</v>
      </c>
      <c r="H46" s="385">
        <f t="shared" si="10"/>
        <v>0</v>
      </c>
      <c r="I46" s="385">
        <f t="shared" si="10"/>
        <v>0</v>
      </c>
      <c r="J46" s="385">
        <f t="shared" si="10"/>
        <v>0</v>
      </c>
      <c r="K46" s="385">
        <f t="shared" si="9"/>
        <v>71529608</v>
      </c>
    </row>
    <row r="47" spans="1:11" ht="21.75" customHeight="1">
      <c r="A47" s="49" t="s">
        <v>347</v>
      </c>
      <c r="B47" s="57" t="s">
        <v>146</v>
      </c>
      <c r="C47" s="50"/>
      <c r="D47" s="385">
        <f aca="true" t="shared" si="11" ref="D47:J47">+D31+D34+D36+D41+D428+D44+D43</f>
        <v>927000</v>
      </c>
      <c r="E47" s="385">
        <f t="shared" si="11"/>
        <v>0</v>
      </c>
      <c r="F47" s="385">
        <f t="shared" si="11"/>
        <v>0</v>
      </c>
      <c r="G47" s="385">
        <f t="shared" si="11"/>
        <v>0</v>
      </c>
      <c r="H47" s="385">
        <f t="shared" si="11"/>
        <v>0</v>
      </c>
      <c r="I47" s="385">
        <f t="shared" si="11"/>
        <v>0</v>
      </c>
      <c r="J47" s="385">
        <f t="shared" si="11"/>
        <v>0</v>
      </c>
      <c r="K47" s="385">
        <f t="shared" si="9"/>
        <v>927000</v>
      </c>
    </row>
    <row r="48" spans="1:12" ht="21.75" customHeight="1">
      <c r="A48" s="49" t="s">
        <v>348</v>
      </c>
      <c r="B48" s="57" t="s">
        <v>399</v>
      </c>
      <c r="C48" s="50"/>
      <c r="D48" s="385">
        <f aca="true" t="shared" si="12" ref="D48:J48">+D46+D47</f>
        <v>72456608</v>
      </c>
      <c r="E48" s="385">
        <f t="shared" si="12"/>
        <v>0</v>
      </c>
      <c r="F48" s="385">
        <f t="shared" si="12"/>
        <v>0</v>
      </c>
      <c r="G48" s="385">
        <f t="shared" si="12"/>
        <v>0</v>
      </c>
      <c r="H48" s="385">
        <f t="shared" si="12"/>
        <v>0</v>
      </c>
      <c r="I48" s="385">
        <f t="shared" si="12"/>
        <v>0</v>
      </c>
      <c r="J48" s="385">
        <f t="shared" si="12"/>
        <v>0</v>
      </c>
      <c r="K48" s="385">
        <f t="shared" si="9"/>
        <v>72456608</v>
      </c>
      <c r="L48" s="165">
        <f>K46+K47</f>
        <v>72456608</v>
      </c>
    </row>
    <row r="49" spans="1:13" ht="21.75" customHeight="1">
      <c r="A49" s="49" t="s">
        <v>349</v>
      </c>
      <c r="B49" s="90" t="s">
        <v>551</v>
      </c>
      <c r="C49" s="391"/>
      <c r="D49" s="384"/>
      <c r="E49" s="384">
        <f>'12.sz.mell. Létszámtábla'!C47</f>
        <v>10</v>
      </c>
      <c r="F49" s="384"/>
      <c r="G49" s="384"/>
      <c r="H49" s="384"/>
      <c r="I49" s="384"/>
      <c r="J49" s="384"/>
      <c r="K49" s="384">
        <f t="shared" si="9"/>
        <v>10</v>
      </c>
      <c r="M49" s="165">
        <f>K48-K29</f>
        <v>0</v>
      </c>
    </row>
    <row r="50" spans="1:13" ht="21.75" customHeight="1">
      <c r="A50" s="49" t="s">
        <v>350</v>
      </c>
      <c r="B50" s="90" t="s">
        <v>899</v>
      </c>
      <c r="C50" s="391"/>
      <c r="D50" s="470"/>
      <c r="E50" s="470"/>
      <c r="F50" s="470"/>
      <c r="G50" s="470"/>
      <c r="H50" s="470"/>
      <c r="I50" s="470"/>
      <c r="J50" s="470"/>
      <c r="K50" s="470">
        <f t="shared" si="9"/>
        <v>0</v>
      </c>
      <c r="M50" s="165"/>
    </row>
  </sheetData>
  <sheetProtection/>
  <mergeCells count="15">
    <mergeCell ref="H2:K2"/>
    <mergeCell ref="D2:G2"/>
    <mergeCell ref="F5:F6"/>
    <mergeCell ref="G5:G6"/>
    <mergeCell ref="K3:K6"/>
    <mergeCell ref="B5:C5"/>
    <mergeCell ref="H5:H6"/>
    <mergeCell ref="J5:J6"/>
    <mergeCell ref="I5:I6"/>
    <mergeCell ref="A3:A6"/>
    <mergeCell ref="B3:C3"/>
    <mergeCell ref="A2:C2"/>
    <mergeCell ref="D5:D6"/>
    <mergeCell ref="E5:E6"/>
    <mergeCell ref="B4:C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200" verticalDpi="200" orientation="portrait" paperSize="9" scale="55" r:id="rId1"/>
  <headerFooter alignWithMargins="0">
    <oddHeader>&amp;C2019. évi költségvetés&amp;R&amp;A</oddHeader>
    <oddFooter>&amp;C&amp;P/&amp;N</oddFooter>
  </headerFooter>
  <colBreaks count="1" manualBreakCount="1">
    <brk id="7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50"/>
  <sheetViews>
    <sheetView view="pageBreakPreview" zoomScale="82" zoomScaleSheetLayoutView="82" workbookViewId="0" topLeftCell="A1">
      <pane xSplit="3" ySplit="7" topLeftCell="J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5.875" style="41" customWidth="1"/>
    <col min="2" max="2" width="64.875" style="41" customWidth="1"/>
    <col min="3" max="3" width="8.00390625" style="41" customWidth="1"/>
    <col min="4" max="4" width="17.75390625" style="42" customWidth="1"/>
    <col min="5" max="5" width="16.25390625" style="42" customWidth="1"/>
    <col min="6" max="6" width="16.125" style="42" customWidth="1"/>
    <col min="7" max="7" width="14.875" style="42" customWidth="1"/>
    <col min="8" max="8" width="18.75390625" style="42" customWidth="1"/>
    <col min="9" max="9" width="17.00390625" style="42" customWidth="1"/>
    <col min="10" max="10" width="16.25390625" style="42" customWidth="1"/>
    <col min="11" max="11" width="17.25390625" style="42" customWidth="1"/>
    <col min="12" max="12" width="15.75390625" style="42" customWidth="1"/>
    <col min="13" max="13" width="15.875" style="42" customWidth="1"/>
    <col min="14" max="14" width="19.625" style="42" customWidth="1"/>
    <col min="15" max="15" width="17.75390625" style="42" customWidth="1"/>
    <col min="16" max="16" width="17.875" style="42" customWidth="1"/>
    <col min="17" max="17" width="18.00390625" style="42" customWidth="1"/>
    <col min="18" max="18" width="17.625" style="42" customWidth="1"/>
    <col min="19" max="19" width="18.625" style="42" customWidth="1"/>
    <col min="20" max="20" width="14.25390625" style="42" customWidth="1"/>
    <col min="21" max="21" width="16.875" style="42" customWidth="1"/>
    <col min="22" max="22" width="17.375" style="42" customWidth="1"/>
    <col min="23" max="23" width="15.625" style="42" customWidth="1"/>
    <col min="24" max="24" width="18.00390625" style="41" customWidth="1"/>
    <col min="25" max="25" width="13.00390625" style="41" bestFit="1" customWidth="1"/>
    <col min="26" max="16384" width="9.125" style="41" customWidth="1"/>
  </cols>
  <sheetData>
    <row r="1" spans="1:23" ht="15.75">
      <c r="A1" s="376"/>
      <c r="B1" s="392"/>
      <c r="C1" s="376"/>
      <c r="D1" s="378"/>
      <c r="E1" s="378"/>
      <c r="F1" s="378"/>
      <c r="G1" s="378"/>
      <c r="H1" s="378" t="s">
        <v>541</v>
      </c>
      <c r="I1" s="378"/>
      <c r="J1" s="378"/>
      <c r="K1" s="378"/>
      <c r="L1" s="378"/>
      <c r="M1" s="378" t="s">
        <v>541</v>
      </c>
      <c r="N1" s="378"/>
      <c r="O1" s="378"/>
      <c r="P1" s="378"/>
      <c r="Q1" s="378"/>
      <c r="R1" s="379" t="s">
        <v>541</v>
      </c>
      <c r="S1" s="378"/>
      <c r="T1" s="378"/>
      <c r="U1" s="378"/>
      <c r="V1" s="378"/>
      <c r="W1" s="379" t="s">
        <v>541</v>
      </c>
    </row>
    <row r="2" spans="1:23" ht="36.75" customHeight="1">
      <c r="A2" s="1204" t="s">
        <v>176</v>
      </c>
      <c r="B2" s="1204"/>
      <c r="C2" s="1204"/>
      <c r="D2" s="1209" t="s">
        <v>922</v>
      </c>
      <c r="E2" s="1210"/>
      <c r="F2" s="1210"/>
      <c r="G2" s="1210"/>
      <c r="H2" s="1213"/>
      <c r="I2" s="1209" t="s">
        <v>922</v>
      </c>
      <c r="J2" s="1210"/>
      <c r="K2" s="1210"/>
      <c r="L2" s="1210"/>
      <c r="M2" s="1213"/>
      <c r="N2" s="1209" t="s">
        <v>922</v>
      </c>
      <c r="O2" s="1210"/>
      <c r="P2" s="1210"/>
      <c r="Q2" s="1210"/>
      <c r="R2" s="1213"/>
      <c r="S2" s="1209" t="s">
        <v>922</v>
      </c>
      <c r="T2" s="1210"/>
      <c r="U2" s="1210"/>
      <c r="V2" s="1210"/>
      <c r="W2" s="1213"/>
    </row>
    <row r="3" spans="1:23" s="44" customFormat="1" ht="81" customHeight="1">
      <c r="A3" s="1203" t="s">
        <v>244</v>
      </c>
      <c r="B3" s="1204" t="s">
        <v>302</v>
      </c>
      <c r="C3" s="1204"/>
      <c r="D3" s="380" t="s">
        <v>544</v>
      </c>
      <c r="E3" s="393" t="s">
        <v>545</v>
      </c>
      <c r="F3" s="380" t="s">
        <v>546</v>
      </c>
      <c r="G3" s="380" t="s">
        <v>415</v>
      </c>
      <c r="H3" s="380" t="s">
        <v>186</v>
      </c>
      <c r="I3" s="380" t="s">
        <v>423</v>
      </c>
      <c r="J3" s="380" t="s">
        <v>187</v>
      </c>
      <c r="K3" s="380" t="s">
        <v>597</v>
      </c>
      <c r="L3" s="380" t="s">
        <v>188</v>
      </c>
      <c r="M3" s="382" t="s">
        <v>179</v>
      </c>
      <c r="N3" s="381" t="s">
        <v>180</v>
      </c>
      <c r="O3" s="381" t="s">
        <v>181</v>
      </c>
      <c r="P3" s="381" t="s">
        <v>229</v>
      </c>
      <c r="Q3" s="381" t="s">
        <v>229</v>
      </c>
      <c r="R3" s="381" t="s">
        <v>229</v>
      </c>
      <c r="S3" s="381" t="s">
        <v>531</v>
      </c>
      <c r="T3" s="381" t="s">
        <v>236</v>
      </c>
      <c r="U3" s="381" t="s">
        <v>622</v>
      </c>
      <c r="V3" s="393" t="s">
        <v>545</v>
      </c>
      <c r="W3" s="1206" t="s">
        <v>178</v>
      </c>
    </row>
    <row r="4" spans="1:23" s="44" customFormat="1" ht="25.5" customHeight="1">
      <c r="A4" s="1203"/>
      <c r="B4" s="1204" t="s">
        <v>12</v>
      </c>
      <c r="C4" s="1204"/>
      <c r="D4" s="380" t="s">
        <v>280</v>
      </c>
      <c r="E4" s="380" t="s">
        <v>280</v>
      </c>
      <c r="F4" s="380" t="s">
        <v>280</v>
      </c>
      <c r="G4" s="380" t="s">
        <v>281</v>
      </c>
      <c r="H4" s="380" t="s">
        <v>281</v>
      </c>
      <c r="I4" s="380" t="s">
        <v>280</v>
      </c>
      <c r="J4" s="380" t="s">
        <v>280</v>
      </c>
      <c r="K4" s="380" t="s">
        <v>280</v>
      </c>
      <c r="L4" s="380" t="s">
        <v>280</v>
      </c>
      <c r="M4" s="380" t="s">
        <v>280</v>
      </c>
      <c r="N4" s="380" t="s">
        <v>280</v>
      </c>
      <c r="O4" s="380" t="s">
        <v>280</v>
      </c>
      <c r="P4" s="380" t="s">
        <v>280</v>
      </c>
      <c r="Q4" s="380" t="s">
        <v>280</v>
      </c>
      <c r="R4" s="380" t="s">
        <v>280</v>
      </c>
      <c r="S4" s="380" t="s">
        <v>280</v>
      </c>
      <c r="T4" s="380" t="s">
        <v>280</v>
      </c>
      <c r="U4" s="380" t="s">
        <v>280</v>
      </c>
      <c r="V4" s="380" t="s">
        <v>280</v>
      </c>
      <c r="W4" s="1206"/>
    </row>
    <row r="5" spans="1:23" s="44" customFormat="1" ht="15.75" customHeight="1">
      <c r="A5" s="1203"/>
      <c r="B5" s="1188" t="s">
        <v>1308</v>
      </c>
      <c r="C5" s="1188"/>
      <c r="D5" s="1206" t="s">
        <v>422</v>
      </c>
      <c r="E5" s="1206" t="s">
        <v>823</v>
      </c>
      <c r="F5" s="1206" t="s">
        <v>421</v>
      </c>
      <c r="G5" s="1219" t="s">
        <v>420</v>
      </c>
      <c r="H5" s="1219" t="s">
        <v>419</v>
      </c>
      <c r="I5" s="1206" t="s">
        <v>620</v>
      </c>
      <c r="J5" s="1206" t="s">
        <v>623</v>
      </c>
      <c r="K5" s="1206" t="s">
        <v>418</v>
      </c>
      <c r="L5" s="1206" t="s">
        <v>417</v>
      </c>
      <c r="M5" s="1206" t="s">
        <v>182</v>
      </c>
      <c r="N5" s="1206" t="s">
        <v>183</v>
      </c>
      <c r="O5" s="1206" t="s">
        <v>184</v>
      </c>
      <c r="P5" s="1206" t="s">
        <v>483</v>
      </c>
      <c r="Q5" s="1206" t="s">
        <v>513</v>
      </c>
      <c r="R5" s="1206" t="s">
        <v>484</v>
      </c>
      <c r="S5" s="1206" t="s">
        <v>185</v>
      </c>
      <c r="T5" s="1206" t="s">
        <v>416</v>
      </c>
      <c r="U5" s="1206" t="s">
        <v>621</v>
      </c>
      <c r="V5" s="1218" t="s">
        <v>223</v>
      </c>
      <c r="W5" s="1206"/>
    </row>
    <row r="6" spans="1:23" ht="68.25" customHeight="1">
      <c r="A6" s="1203"/>
      <c r="B6" s="45" t="s">
        <v>245</v>
      </c>
      <c r="C6" s="248" t="s">
        <v>303</v>
      </c>
      <c r="D6" s="1206"/>
      <c r="E6" s="1206"/>
      <c r="F6" s="1206"/>
      <c r="G6" s="1219"/>
      <c r="H6" s="1219"/>
      <c r="I6" s="1206"/>
      <c r="J6" s="1206"/>
      <c r="K6" s="1206"/>
      <c r="L6" s="1206"/>
      <c r="M6" s="1206"/>
      <c r="N6" s="1206"/>
      <c r="O6" s="1206"/>
      <c r="P6" s="1206"/>
      <c r="Q6" s="1206"/>
      <c r="R6" s="1206"/>
      <c r="S6" s="1206"/>
      <c r="T6" s="1206"/>
      <c r="U6" s="1206"/>
      <c r="V6" s="1212"/>
      <c r="W6" s="1206"/>
    </row>
    <row r="7" spans="1:23" ht="15.75">
      <c r="A7" s="47" t="s">
        <v>246</v>
      </c>
      <c r="B7" s="48" t="s">
        <v>247</v>
      </c>
      <c r="C7" s="48" t="s">
        <v>248</v>
      </c>
      <c r="D7" s="383" t="s">
        <v>249</v>
      </c>
      <c r="E7" s="383" t="s">
        <v>250</v>
      </c>
      <c r="F7" s="383" t="s">
        <v>251</v>
      </c>
      <c r="G7" s="383" t="s">
        <v>252</v>
      </c>
      <c r="H7" s="383" t="s">
        <v>253</v>
      </c>
      <c r="I7" s="383" t="s">
        <v>254</v>
      </c>
      <c r="J7" s="383" t="s">
        <v>255</v>
      </c>
      <c r="K7" s="383" t="s">
        <v>256</v>
      </c>
      <c r="L7" s="383" t="s">
        <v>283</v>
      </c>
      <c r="M7" s="383" t="s">
        <v>284</v>
      </c>
      <c r="N7" s="383" t="s">
        <v>285</v>
      </c>
      <c r="O7" s="383" t="s">
        <v>286</v>
      </c>
      <c r="P7" s="383" t="s">
        <v>287</v>
      </c>
      <c r="Q7" s="383" t="s">
        <v>288</v>
      </c>
      <c r="R7" s="383" t="s">
        <v>289</v>
      </c>
      <c r="S7" s="383" t="s">
        <v>290</v>
      </c>
      <c r="T7" s="383" t="s">
        <v>291</v>
      </c>
      <c r="U7" s="383" t="s">
        <v>322</v>
      </c>
      <c r="V7" s="383" t="s">
        <v>323</v>
      </c>
      <c r="W7" s="383" t="s">
        <v>324</v>
      </c>
    </row>
    <row r="8" spans="1:25" ht="21.75" customHeight="1">
      <c r="A8" s="49" t="s">
        <v>246</v>
      </c>
      <c r="B8" s="46" t="s">
        <v>405</v>
      </c>
      <c r="C8" s="50" t="s">
        <v>257</v>
      </c>
      <c r="D8" s="384"/>
      <c r="E8" s="384">
        <v>45100579</v>
      </c>
      <c r="F8" s="384">
        <v>2993560</v>
      </c>
      <c r="G8" s="384">
        <v>8566000</v>
      </c>
      <c r="H8" s="384">
        <v>9272252</v>
      </c>
      <c r="I8" s="384"/>
      <c r="J8" s="384"/>
      <c r="K8" s="384">
        <v>5264200</v>
      </c>
      <c r="L8" s="384">
        <v>11087638</v>
      </c>
      <c r="M8" s="384">
        <v>6746608</v>
      </c>
      <c r="N8" s="384">
        <f>40772495+4677133</f>
        <v>45449628</v>
      </c>
      <c r="O8" s="384">
        <v>8887108</v>
      </c>
      <c r="P8" s="384"/>
      <c r="Q8" s="384">
        <v>4600600</v>
      </c>
      <c r="R8" s="384"/>
      <c r="S8" s="384"/>
      <c r="T8" s="384"/>
      <c r="U8" s="384"/>
      <c r="V8" s="384"/>
      <c r="W8" s="384">
        <f>SUM(D8:V8)</f>
        <v>147968173</v>
      </c>
      <c r="X8" s="41">
        <v>137226120</v>
      </c>
      <c r="Y8" s="165">
        <f>+X8-W8</f>
        <v>-10742053</v>
      </c>
    </row>
    <row r="9" spans="1:25" ht="21.75" customHeight="1">
      <c r="A9" s="49" t="s">
        <v>247</v>
      </c>
      <c r="B9" s="51" t="s">
        <v>258</v>
      </c>
      <c r="C9" s="50" t="s">
        <v>259</v>
      </c>
      <c r="D9" s="384"/>
      <c r="E9" s="384">
        <f>9254058+2600000+1450000</f>
        <v>13304058</v>
      </c>
      <c r="F9" s="384">
        <v>605677</v>
      </c>
      <c r="G9" s="384">
        <v>1736168</v>
      </c>
      <c r="H9" s="384">
        <v>1851955</v>
      </c>
      <c r="I9" s="384"/>
      <c r="J9" s="384"/>
      <c r="K9" s="384">
        <v>1070385</v>
      </c>
      <c r="L9" s="384">
        <v>2227888</v>
      </c>
      <c r="M9" s="384">
        <v>1359454</v>
      </c>
      <c r="N9" s="384">
        <f>8148032+933973</f>
        <v>9082005</v>
      </c>
      <c r="O9" s="384">
        <v>1776852</v>
      </c>
      <c r="P9" s="384"/>
      <c r="Q9" s="384">
        <v>919050</v>
      </c>
      <c r="R9" s="384"/>
      <c r="S9" s="384"/>
      <c r="T9" s="384"/>
      <c r="U9" s="384"/>
      <c r="V9" s="384"/>
      <c r="W9" s="384">
        <f aca="true" t="shared" si="0" ref="W9:W29">SUM(D9:V9)</f>
        <v>33933492</v>
      </c>
      <c r="X9" s="41">
        <v>32198911</v>
      </c>
      <c r="Y9" s="165">
        <f>+X9-W9</f>
        <v>-1734581</v>
      </c>
    </row>
    <row r="10" spans="1:25" s="529" customFormat="1" ht="21.75" customHeight="1">
      <c r="A10" s="526" t="s">
        <v>248</v>
      </c>
      <c r="B10" s="527" t="s">
        <v>406</v>
      </c>
      <c r="C10" s="531" t="s">
        <v>260</v>
      </c>
      <c r="D10" s="386">
        <v>27641936</v>
      </c>
      <c r="E10" s="386">
        <f>17828269+254650+301103</f>
        <v>18384022</v>
      </c>
      <c r="F10" s="386">
        <f>11688987+283206</f>
        <v>11972193</v>
      </c>
      <c r="G10" s="386">
        <v>538110</v>
      </c>
      <c r="H10" s="386">
        <f>2531030+168461</f>
        <v>2699491</v>
      </c>
      <c r="I10" s="386">
        <f>12227407+43502</f>
        <v>12270909</v>
      </c>
      <c r="J10" s="386">
        <f>7395330+32184</f>
        <v>7427514</v>
      </c>
      <c r="K10" s="386">
        <f>6800224+120000</f>
        <v>6920224</v>
      </c>
      <c r="L10" s="386">
        <f>1941770+6720000+11536</f>
        <v>8673306</v>
      </c>
      <c r="M10" s="386">
        <f>1342410+6350+10247</f>
        <v>1359007</v>
      </c>
      <c r="N10" s="386">
        <f>5427490+120563</f>
        <v>5548053</v>
      </c>
      <c r="O10" s="386">
        <f>2232880+10248</f>
        <v>2243128</v>
      </c>
      <c r="P10" s="386">
        <f>149687587+3428917</f>
        <v>153116504</v>
      </c>
      <c r="Q10" s="386">
        <f>212930110+6142118</f>
        <v>219072228</v>
      </c>
      <c r="R10" s="386">
        <f>14514600+260049</f>
        <v>14774649</v>
      </c>
      <c r="S10" s="386">
        <f>7082825+124221</f>
        <v>7207046</v>
      </c>
      <c r="T10" s="386"/>
      <c r="U10" s="386">
        <v>2032000</v>
      </c>
      <c r="V10" s="386">
        <v>258446</v>
      </c>
      <c r="W10" s="384">
        <f t="shared" si="0"/>
        <v>502138766</v>
      </c>
      <c r="X10" s="529">
        <f>+X9/X8</f>
        <v>0.23464126946094518</v>
      </c>
      <c r="Y10" s="530">
        <f>SUM(Y8:Y9)</f>
        <v>-12476634</v>
      </c>
    </row>
    <row r="11" spans="1:23" ht="21.75" customHeight="1">
      <c r="A11" s="49" t="s">
        <v>249</v>
      </c>
      <c r="B11" s="52" t="s">
        <v>407</v>
      </c>
      <c r="C11" s="50" t="s">
        <v>261</v>
      </c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>
        <f t="shared" si="0"/>
        <v>0</v>
      </c>
    </row>
    <row r="12" spans="1:23" ht="21.75" customHeight="1">
      <c r="A12" s="49" t="s">
        <v>250</v>
      </c>
      <c r="B12" s="52" t="s">
        <v>292</v>
      </c>
      <c r="C12" s="50" t="s">
        <v>262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>
        <f>SUM(N13:N15)</f>
        <v>0</v>
      </c>
      <c r="O12" s="384">
        <f aca="true" t="shared" si="1" ref="O12:V12">SUM(O13:O15)</f>
        <v>0</v>
      </c>
      <c r="P12" s="384">
        <f t="shared" si="1"/>
        <v>0</v>
      </c>
      <c r="Q12" s="384">
        <f t="shared" si="1"/>
        <v>0</v>
      </c>
      <c r="R12" s="384">
        <f t="shared" si="1"/>
        <v>0</v>
      </c>
      <c r="S12" s="384">
        <f t="shared" si="1"/>
        <v>0</v>
      </c>
      <c r="T12" s="384">
        <f t="shared" si="1"/>
        <v>0</v>
      </c>
      <c r="U12" s="384">
        <f t="shared" si="1"/>
        <v>0</v>
      </c>
      <c r="V12" s="384">
        <f t="shared" si="1"/>
        <v>0</v>
      </c>
      <c r="W12" s="384">
        <f t="shared" si="0"/>
        <v>0</v>
      </c>
    </row>
    <row r="13" spans="1:23" ht="21.75" customHeight="1">
      <c r="A13" s="49" t="s">
        <v>251</v>
      </c>
      <c r="B13" s="53" t="s">
        <v>159</v>
      </c>
      <c r="C13" s="50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>
        <f t="shared" si="0"/>
        <v>0</v>
      </c>
    </row>
    <row r="14" spans="1:23" ht="21.75" customHeight="1">
      <c r="A14" s="49" t="s">
        <v>252</v>
      </c>
      <c r="B14" s="53" t="s">
        <v>148</v>
      </c>
      <c r="C14" s="5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>
        <f t="shared" si="0"/>
        <v>0</v>
      </c>
    </row>
    <row r="15" spans="1:23" ht="21.75" customHeight="1">
      <c r="A15" s="49" t="s">
        <v>253</v>
      </c>
      <c r="B15" s="175" t="s">
        <v>738</v>
      </c>
      <c r="C15" s="5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>
        <f t="shared" si="0"/>
        <v>0</v>
      </c>
    </row>
    <row r="16" spans="1:23" ht="21.75" customHeight="1">
      <c r="A16" s="49" t="s">
        <v>254</v>
      </c>
      <c r="B16" s="55" t="s">
        <v>299</v>
      </c>
      <c r="C16" s="50" t="s">
        <v>263</v>
      </c>
      <c r="D16" s="384"/>
      <c r="E16" s="384">
        <v>3754000</v>
      </c>
      <c r="F16" s="384">
        <v>3000000</v>
      </c>
      <c r="G16" s="384">
        <v>3063500</v>
      </c>
      <c r="H16" s="384">
        <v>3063500</v>
      </c>
      <c r="I16" s="384">
        <v>15500000</v>
      </c>
      <c r="J16" s="384">
        <v>127000</v>
      </c>
      <c r="K16" s="384"/>
      <c r="L16" s="384">
        <v>250000</v>
      </c>
      <c r="M16" s="384">
        <f>+'6.sz. Beruházások'!E83</f>
        <v>750000</v>
      </c>
      <c r="N16" s="384">
        <v>15708000</v>
      </c>
      <c r="O16" s="384">
        <v>254000</v>
      </c>
      <c r="P16" s="384"/>
      <c r="Q16" s="384">
        <v>25400</v>
      </c>
      <c r="R16" s="384"/>
      <c r="S16" s="384"/>
      <c r="T16" s="384"/>
      <c r="U16" s="384"/>
      <c r="V16" s="384"/>
      <c r="W16" s="384">
        <f t="shared" si="0"/>
        <v>45495400</v>
      </c>
    </row>
    <row r="17" spans="1:23" ht="21.75" customHeight="1">
      <c r="A17" s="49" t="s">
        <v>255</v>
      </c>
      <c r="B17" s="52" t="s">
        <v>408</v>
      </c>
      <c r="C17" s="50" t="s">
        <v>264</v>
      </c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>
        <f t="shared" si="0"/>
        <v>0</v>
      </c>
    </row>
    <row r="18" spans="1:23" ht="21.75" customHeight="1">
      <c r="A18" s="49" t="s">
        <v>256</v>
      </c>
      <c r="B18" s="52" t="s">
        <v>293</v>
      </c>
      <c r="C18" s="50" t="s">
        <v>265</v>
      </c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>
        <f t="shared" si="0"/>
        <v>0</v>
      </c>
    </row>
    <row r="19" spans="1:23" ht="21.75" customHeight="1">
      <c r="A19" s="49" t="s">
        <v>283</v>
      </c>
      <c r="B19" s="53" t="s">
        <v>158</v>
      </c>
      <c r="C19" s="50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>
        <f t="shared" si="0"/>
        <v>0</v>
      </c>
    </row>
    <row r="20" spans="1:24" ht="21.75" customHeight="1">
      <c r="A20" s="49" t="s">
        <v>284</v>
      </c>
      <c r="B20" s="55" t="s">
        <v>294</v>
      </c>
      <c r="C20" s="50" t="s">
        <v>266</v>
      </c>
      <c r="D20" s="384">
        <f aca="true" t="shared" si="2" ref="D20:M20">+D8+D9+D10+D11+D12+D16+D17+D18+D15</f>
        <v>27641936</v>
      </c>
      <c r="E20" s="384">
        <f t="shared" si="2"/>
        <v>80542659</v>
      </c>
      <c r="F20" s="384">
        <f t="shared" si="2"/>
        <v>18571430</v>
      </c>
      <c r="G20" s="384">
        <f t="shared" si="2"/>
        <v>13903778</v>
      </c>
      <c r="H20" s="384">
        <f t="shared" si="2"/>
        <v>16887198</v>
      </c>
      <c r="I20" s="384">
        <f t="shared" si="2"/>
        <v>27770909</v>
      </c>
      <c r="J20" s="384">
        <f t="shared" si="2"/>
        <v>7554514</v>
      </c>
      <c r="K20" s="384">
        <f t="shared" si="2"/>
        <v>13254809</v>
      </c>
      <c r="L20" s="384">
        <f t="shared" si="2"/>
        <v>22238832</v>
      </c>
      <c r="M20" s="384">
        <f t="shared" si="2"/>
        <v>10215069</v>
      </c>
      <c r="N20" s="384">
        <f>+N8+N9+N10+N11+N12+N16+N17+N18+N15</f>
        <v>75787686</v>
      </c>
      <c r="O20" s="384">
        <f aca="true" t="shared" si="3" ref="O20:V20">+O8+O9+O10+O11+O12+O16+O17+O18+O15</f>
        <v>13161088</v>
      </c>
      <c r="P20" s="384">
        <f t="shared" si="3"/>
        <v>153116504</v>
      </c>
      <c r="Q20" s="384">
        <f t="shared" si="3"/>
        <v>224617278</v>
      </c>
      <c r="R20" s="384">
        <f t="shared" si="3"/>
        <v>14774649</v>
      </c>
      <c r="S20" s="384">
        <f t="shared" si="3"/>
        <v>7207046</v>
      </c>
      <c r="T20" s="384">
        <f t="shared" si="3"/>
        <v>0</v>
      </c>
      <c r="U20" s="384">
        <f t="shared" si="3"/>
        <v>2032000</v>
      </c>
      <c r="V20" s="384">
        <f t="shared" si="3"/>
        <v>258446</v>
      </c>
      <c r="W20" s="384">
        <f t="shared" si="0"/>
        <v>729535831</v>
      </c>
      <c r="X20" s="165">
        <f>W8+W9+W10+W11+W12+W16+W17+W18</f>
        <v>729535831</v>
      </c>
    </row>
    <row r="21" spans="1:23" ht="21.75" customHeight="1">
      <c r="A21" s="49" t="s">
        <v>285</v>
      </c>
      <c r="B21" s="55" t="s">
        <v>279</v>
      </c>
      <c r="C21" s="50" t="s">
        <v>275</v>
      </c>
      <c r="D21" s="384">
        <f aca="true" t="shared" si="4" ref="D21:S21">SUM(D22:D25)</f>
        <v>0</v>
      </c>
      <c r="E21" s="384">
        <f t="shared" si="4"/>
        <v>0</v>
      </c>
      <c r="F21" s="384">
        <f t="shared" si="4"/>
        <v>0</v>
      </c>
      <c r="G21" s="384">
        <f t="shared" si="4"/>
        <v>0</v>
      </c>
      <c r="H21" s="384">
        <f t="shared" si="4"/>
        <v>0</v>
      </c>
      <c r="I21" s="384">
        <f t="shared" si="4"/>
        <v>0</v>
      </c>
      <c r="J21" s="384">
        <f t="shared" si="4"/>
        <v>0</v>
      </c>
      <c r="K21" s="384">
        <f t="shared" si="4"/>
        <v>0</v>
      </c>
      <c r="L21" s="384">
        <f t="shared" si="4"/>
        <v>0</v>
      </c>
      <c r="M21" s="384">
        <f t="shared" si="4"/>
        <v>0</v>
      </c>
      <c r="N21" s="384">
        <f t="shared" si="4"/>
        <v>0</v>
      </c>
      <c r="O21" s="384">
        <f t="shared" si="4"/>
        <v>0</v>
      </c>
      <c r="P21" s="384">
        <f t="shared" si="4"/>
        <v>0</v>
      </c>
      <c r="Q21" s="384">
        <f t="shared" si="4"/>
        <v>0</v>
      </c>
      <c r="R21" s="384">
        <f t="shared" si="4"/>
        <v>0</v>
      </c>
      <c r="S21" s="384">
        <f t="shared" si="4"/>
        <v>0</v>
      </c>
      <c r="T21" s="384">
        <f>SUM(T22:T25)</f>
        <v>0</v>
      </c>
      <c r="U21" s="384">
        <f>SUM(U22:U25)</f>
        <v>0</v>
      </c>
      <c r="V21" s="384">
        <f>SUM(V22:V25)</f>
        <v>0</v>
      </c>
      <c r="W21" s="384">
        <f t="shared" si="0"/>
        <v>0</v>
      </c>
    </row>
    <row r="22" spans="1:23" ht="21.75" customHeight="1">
      <c r="A22" s="49" t="s">
        <v>286</v>
      </c>
      <c r="B22" s="177" t="s">
        <v>232</v>
      </c>
      <c r="C22" s="5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>
        <f t="shared" si="0"/>
        <v>0</v>
      </c>
    </row>
    <row r="23" spans="1:23" ht="21.75" customHeight="1">
      <c r="A23" s="49" t="s">
        <v>287</v>
      </c>
      <c r="B23" s="56" t="s">
        <v>741</v>
      </c>
      <c r="C23" s="5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>
        <f t="shared" si="0"/>
        <v>0</v>
      </c>
    </row>
    <row r="24" spans="1:23" ht="21.75" customHeight="1">
      <c r="A24" s="49" t="s">
        <v>288</v>
      </c>
      <c r="B24" s="56" t="s">
        <v>742</v>
      </c>
      <c r="C24" s="5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>
        <f t="shared" si="0"/>
        <v>0</v>
      </c>
    </row>
    <row r="25" spans="1:23" ht="21.75" customHeight="1">
      <c r="A25" s="49" t="s">
        <v>289</v>
      </c>
      <c r="B25" s="56" t="s">
        <v>160</v>
      </c>
      <c r="C25" s="5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>
        <f t="shared" si="0"/>
        <v>0</v>
      </c>
    </row>
    <row r="26" spans="1:23" ht="21.75" customHeight="1">
      <c r="A26" s="49" t="s">
        <v>290</v>
      </c>
      <c r="B26" s="510" t="s">
        <v>1408</v>
      </c>
      <c r="C26" s="5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</row>
    <row r="27" spans="1:23" s="58" customFormat="1" ht="21.75" customHeight="1">
      <c r="A27" s="49" t="s">
        <v>291</v>
      </c>
      <c r="B27" s="57" t="s">
        <v>33</v>
      </c>
      <c r="C27" s="50"/>
      <c r="D27" s="385">
        <f aca="true" t="shared" si="5" ref="D27:S27">+D8+D9+D10+D11+D12+D22+D23</f>
        <v>27641936</v>
      </c>
      <c r="E27" s="385">
        <f t="shared" si="5"/>
        <v>76788659</v>
      </c>
      <c r="F27" s="385">
        <f t="shared" si="5"/>
        <v>15571430</v>
      </c>
      <c r="G27" s="385">
        <f t="shared" si="5"/>
        <v>10840278</v>
      </c>
      <c r="H27" s="385">
        <f t="shared" si="5"/>
        <v>13823698</v>
      </c>
      <c r="I27" s="385">
        <f t="shared" si="5"/>
        <v>12270909</v>
      </c>
      <c r="J27" s="385">
        <f t="shared" si="5"/>
        <v>7427514</v>
      </c>
      <c r="K27" s="385">
        <f t="shared" si="5"/>
        <v>13254809</v>
      </c>
      <c r="L27" s="385">
        <f t="shared" si="5"/>
        <v>21988832</v>
      </c>
      <c r="M27" s="385">
        <f t="shared" si="5"/>
        <v>9465069</v>
      </c>
      <c r="N27" s="385">
        <f t="shared" si="5"/>
        <v>60079686</v>
      </c>
      <c r="O27" s="385">
        <f t="shared" si="5"/>
        <v>12907088</v>
      </c>
      <c r="P27" s="385">
        <f t="shared" si="5"/>
        <v>153116504</v>
      </c>
      <c r="Q27" s="385">
        <f t="shared" si="5"/>
        <v>224591878</v>
      </c>
      <c r="R27" s="385">
        <f t="shared" si="5"/>
        <v>14774649</v>
      </c>
      <c r="S27" s="385">
        <f t="shared" si="5"/>
        <v>7207046</v>
      </c>
      <c r="T27" s="385">
        <f>+T8+T9+T10+T11+T12+T22+T23</f>
        <v>0</v>
      </c>
      <c r="U27" s="385">
        <f>+U8+U9+U10+U11+U12+U22+U23</f>
        <v>2032000</v>
      </c>
      <c r="V27" s="385">
        <f>+V8+V9+V10+V11+V12+V22+V23</f>
        <v>258446</v>
      </c>
      <c r="W27" s="385">
        <f t="shared" si="0"/>
        <v>684040431</v>
      </c>
    </row>
    <row r="28" spans="1:23" s="58" customFormat="1" ht="21.75" customHeight="1">
      <c r="A28" s="49" t="s">
        <v>322</v>
      </c>
      <c r="B28" s="57" t="s">
        <v>34</v>
      </c>
      <c r="C28" s="50"/>
      <c r="D28" s="385">
        <f>+D16+D17+D18+D24+D25</f>
        <v>0</v>
      </c>
      <c r="E28" s="385">
        <f aca="true" t="shared" si="6" ref="E28:S28">+E16+E17+E18+E24+E25</f>
        <v>3754000</v>
      </c>
      <c r="F28" s="385">
        <f t="shared" si="6"/>
        <v>3000000</v>
      </c>
      <c r="G28" s="385">
        <f t="shared" si="6"/>
        <v>3063500</v>
      </c>
      <c r="H28" s="385">
        <f t="shared" si="6"/>
        <v>3063500</v>
      </c>
      <c r="I28" s="385">
        <f t="shared" si="6"/>
        <v>15500000</v>
      </c>
      <c r="J28" s="385">
        <f t="shared" si="6"/>
        <v>127000</v>
      </c>
      <c r="K28" s="385">
        <f t="shared" si="6"/>
        <v>0</v>
      </c>
      <c r="L28" s="385">
        <f t="shared" si="6"/>
        <v>250000</v>
      </c>
      <c r="M28" s="385">
        <f t="shared" si="6"/>
        <v>750000</v>
      </c>
      <c r="N28" s="385">
        <f t="shared" si="6"/>
        <v>15708000</v>
      </c>
      <c r="O28" s="385">
        <f t="shared" si="6"/>
        <v>254000</v>
      </c>
      <c r="P28" s="385">
        <f t="shared" si="6"/>
        <v>0</v>
      </c>
      <c r="Q28" s="385">
        <f t="shared" si="6"/>
        <v>25400</v>
      </c>
      <c r="R28" s="385">
        <f t="shared" si="6"/>
        <v>0</v>
      </c>
      <c r="S28" s="385">
        <f t="shared" si="6"/>
        <v>0</v>
      </c>
      <c r="T28" s="385">
        <f>+T16+T17+T18+T24+T25</f>
        <v>0</v>
      </c>
      <c r="U28" s="385">
        <f>+U16+U17+U18+U24+U25</f>
        <v>0</v>
      </c>
      <c r="V28" s="385">
        <f>+V16+V17+V18+V24+V25</f>
        <v>0</v>
      </c>
      <c r="W28" s="385">
        <f t="shared" si="0"/>
        <v>45495400</v>
      </c>
    </row>
    <row r="29" spans="1:23" s="58" customFormat="1" ht="21.75" customHeight="1">
      <c r="A29" s="49" t="s">
        <v>323</v>
      </c>
      <c r="B29" s="57" t="s">
        <v>398</v>
      </c>
      <c r="C29" s="50" t="s">
        <v>32</v>
      </c>
      <c r="D29" s="385">
        <f aca="true" t="shared" si="7" ref="D29:S29">SUM(D27:D28)</f>
        <v>27641936</v>
      </c>
      <c r="E29" s="385">
        <f t="shared" si="7"/>
        <v>80542659</v>
      </c>
      <c r="F29" s="385">
        <f t="shared" si="7"/>
        <v>18571430</v>
      </c>
      <c r="G29" s="385">
        <f t="shared" si="7"/>
        <v>13903778</v>
      </c>
      <c r="H29" s="385">
        <f t="shared" si="7"/>
        <v>16887198</v>
      </c>
      <c r="I29" s="385">
        <f t="shared" si="7"/>
        <v>27770909</v>
      </c>
      <c r="J29" s="385">
        <f t="shared" si="7"/>
        <v>7554514</v>
      </c>
      <c r="K29" s="385">
        <f t="shared" si="7"/>
        <v>13254809</v>
      </c>
      <c r="L29" s="385">
        <f t="shared" si="7"/>
        <v>22238832</v>
      </c>
      <c r="M29" s="385">
        <f t="shared" si="7"/>
        <v>10215069</v>
      </c>
      <c r="N29" s="385">
        <f t="shared" si="7"/>
        <v>75787686</v>
      </c>
      <c r="O29" s="385">
        <f t="shared" si="7"/>
        <v>13161088</v>
      </c>
      <c r="P29" s="385">
        <f t="shared" si="7"/>
        <v>153116504</v>
      </c>
      <c r="Q29" s="385">
        <f t="shared" si="7"/>
        <v>224617278</v>
      </c>
      <c r="R29" s="385">
        <f t="shared" si="7"/>
        <v>14774649</v>
      </c>
      <c r="S29" s="385">
        <f t="shared" si="7"/>
        <v>7207046</v>
      </c>
      <c r="T29" s="385">
        <f>SUM(T27:T28)</f>
        <v>0</v>
      </c>
      <c r="U29" s="385">
        <f>SUM(U27:U28)</f>
        <v>2032000</v>
      </c>
      <c r="V29" s="385">
        <f>SUM(V27:V28)</f>
        <v>258446</v>
      </c>
      <c r="W29" s="385">
        <f t="shared" si="0"/>
        <v>729535831</v>
      </c>
    </row>
    <row r="30" spans="1:23" ht="21.75" customHeight="1">
      <c r="A30" s="49" t="s">
        <v>324</v>
      </c>
      <c r="B30" s="51" t="s">
        <v>54</v>
      </c>
      <c r="C30" s="55" t="s">
        <v>267</v>
      </c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6">
        <v>45000000</v>
      </c>
      <c r="O30" s="386">
        <v>1090000</v>
      </c>
      <c r="P30" s="386"/>
      <c r="Q30" s="386"/>
      <c r="R30" s="386"/>
      <c r="S30" s="386"/>
      <c r="T30" s="384"/>
      <c r="U30" s="384"/>
      <c r="V30" s="384"/>
      <c r="W30" s="384">
        <f aca="true" t="shared" si="8" ref="W30:W50">SUM(D30:V30)</f>
        <v>46090000</v>
      </c>
    </row>
    <row r="31" spans="1:23" ht="21.75" customHeight="1">
      <c r="A31" s="49" t="s">
        <v>325</v>
      </c>
      <c r="B31" s="51" t="s">
        <v>278</v>
      </c>
      <c r="C31" s="55" t="s">
        <v>268</v>
      </c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6"/>
      <c r="O31" s="386"/>
      <c r="P31" s="386"/>
      <c r="Q31" s="386"/>
      <c r="R31" s="386"/>
      <c r="S31" s="386"/>
      <c r="T31" s="384"/>
      <c r="U31" s="384"/>
      <c r="V31" s="384"/>
      <c r="W31" s="384">
        <f t="shared" si="8"/>
        <v>0</v>
      </c>
    </row>
    <row r="32" spans="1:23" ht="21.75" customHeight="1">
      <c r="A32" s="49" t="s">
        <v>326</v>
      </c>
      <c r="B32" s="51" t="s">
        <v>277</v>
      </c>
      <c r="C32" s="55" t="s">
        <v>269</v>
      </c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6"/>
      <c r="O32" s="386"/>
      <c r="P32" s="386"/>
      <c r="Q32" s="386"/>
      <c r="R32" s="386"/>
      <c r="S32" s="386"/>
      <c r="T32" s="384"/>
      <c r="U32" s="384"/>
      <c r="V32" s="384"/>
      <c r="W32" s="384">
        <f t="shared" si="8"/>
        <v>0</v>
      </c>
    </row>
    <row r="33" spans="1:23" ht="21.75" customHeight="1">
      <c r="A33" s="49" t="s">
        <v>327</v>
      </c>
      <c r="B33" s="52" t="s">
        <v>0</v>
      </c>
      <c r="C33" s="55" t="s">
        <v>270</v>
      </c>
      <c r="D33" s="384"/>
      <c r="E33" s="386">
        <v>3970000</v>
      </c>
      <c r="F33" s="386">
        <v>4191000</v>
      </c>
      <c r="G33" s="386">
        <v>2320000</v>
      </c>
      <c r="H33" s="386">
        <v>1000000</v>
      </c>
      <c r="I33" s="384">
        <v>435000</v>
      </c>
      <c r="J33" s="384"/>
      <c r="K33" s="384"/>
      <c r="L33" s="384"/>
      <c r="M33" s="384"/>
      <c r="N33" s="386"/>
      <c r="O33" s="386"/>
      <c r="P33" s="386">
        <v>39750500</v>
      </c>
      <c r="Q33" s="386">
        <v>79826000</v>
      </c>
      <c r="R33" s="386">
        <v>5919000</v>
      </c>
      <c r="S33" s="386">
        <v>3433750</v>
      </c>
      <c r="T33" s="384">
        <v>27641936</v>
      </c>
      <c r="U33" s="384">
        <v>901700</v>
      </c>
      <c r="V33" s="384"/>
      <c r="W33" s="384">
        <f t="shared" si="8"/>
        <v>169388886</v>
      </c>
    </row>
    <row r="34" spans="1:23" ht="21.75" customHeight="1">
      <c r="A34" s="49" t="s">
        <v>328</v>
      </c>
      <c r="B34" s="51" t="s">
        <v>300</v>
      </c>
      <c r="C34" s="55" t="s">
        <v>271</v>
      </c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6"/>
      <c r="O34" s="386"/>
      <c r="P34" s="386"/>
      <c r="Q34" s="386"/>
      <c r="R34" s="386"/>
      <c r="S34" s="386"/>
      <c r="T34" s="384"/>
      <c r="U34" s="384"/>
      <c r="V34" s="384"/>
      <c r="W34" s="384">
        <f t="shared" si="8"/>
        <v>0</v>
      </c>
    </row>
    <row r="35" spans="1:23" ht="21.75" customHeight="1">
      <c r="A35" s="49" t="s">
        <v>329</v>
      </c>
      <c r="B35" s="51" t="s">
        <v>295</v>
      </c>
      <c r="C35" s="55" t="s">
        <v>272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>
        <f t="shared" si="8"/>
        <v>0</v>
      </c>
    </row>
    <row r="36" spans="1:23" ht="21.75" customHeight="1">
      <c r="A36" s="49" t="s">
        <v>330</v>
      </c>
      <c r="B36" s="51" t="s">
        <v>296</v>
      </c>
      <c r="C36" s="55" t="s">
        <v>273</v>
      </c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>
        <f t="shared" si="8"/>
        <v>0</v>
      </c>
    </row>
    <row r="37" spans="1:24" ht="21.75" customHeight="1">
      <c r="A37" s="49" t="s">
        <v>331</v>
      </c>
      <c r="B37" s="52" t="s">
        <v>297</v>
      </c>
      <c r="C37" s="55" t="s">
        <v>274</v>
      </c>
      <c r="D37" s="384">
        <f aca="true" t="shared" si="9" ref="D37:S37">+D30+D31+D32+D33+D34+D35+D36</f>
        <v>0</v>
      </c>
      <c r="E37" s="384">
        <f t="shared" si="9"/>
        <v>3970000</v>
      </c>
      <c r="F37" s="384">
        <f t="shared" si="9"/>
        <v>4191000</v>
      </c>
      <c r="G37" s="384">
        <f t="shared" si="9"/>
        <v>2320000</v>
      </c>
      <c r="H37" s="384">
        <f t="shared" si="9"/>
        <v>1000000</v>
      </c>
      <c r="I37" s="384">
        <f t="shared" si="9"/>
        <v>435000</v>
      </c>
      <c r="J37" s="384">
        <f t="shared" si="9"/>
        <v>0</v>
      </c>
      <c r="K37" s="384">
        <f t="shared" si="9"/>
        <v>0</v>
      </c>
      <c r="L37" s="384">
        <f t="shared" si="9"/>
        <v>0</v>
      </c>
      <c r="M37" s="384">
        <f t="shared" si="9"/>
        <v>0</v>
      </c>
      <c r="N37" s="384">
        <f t="shared" si="9"/>
        <v>45000000</v>
      </c>
      <c r="O37" s="384">
        <f t="shared" si="9"/>
        <v>1090000</v>
      </c>
      <c r="P37" s="384">
        <f t="shared" si="9"/>
        <v>39750500</v>
      </c>
      <c r="Q37" s="384">
        <f t="shared" si="9"/>
        <v>79826000</v>
      </c>
      <c r="R37" s="384">
        <f t="shared" si="9"/>
        <v>5919000</v>
      </c>
      <c r="S37" s="384">
        <f t="shared" si="9"/>
        <v>3433750</v>
      </c>
      <c r="T37" s="384">
        <f>+T30+T31+T32+T33+T34+T35+T36</f>
        <v>27641936</v>
      </c>
      <c r="U37" s="384">
        <f>+U30+U31+U32+U33+U34+U35+U36</f>
        <v>901700</v>
      </c>
      <c r="V37" s="384">
        <f>+V30+V31+V32+V33+V34+V35+V36</f>
        <v>0</v>
      </c>
      <c r="W37" s="384">
        <f t="shared" si="8"/>
        <v>215478886</v>
      </c>
      <c r="X37" s="165">
        <f>SUM(W30:W36)</f>
        <v>215478886</v>
      </c>
    </row>
    <row r="38" spans="1:23" ht="21.75" customHeight="1">
      <c r="A38" s="49" t="s">
        <v>332</v>
      </c>
      <c r="B38" s="55" t="s">
        <v>298</v>
      </c>
      <c r="C38" s="50" t="s">
        <v>276</v>
      </c>
      <c r="D38" s="384">
        <f aca="true" t="shared" si="10" ref="D38:S38">SUM(D40:D44)</f>
        <v>514056945</v>
      </c>
      <c r="E38" s="384">
        <f t="shared" si="10"/>
        <v>0</v>
      </c>
      <c r="F38" s="384">
        <f t="shared" si="10"/>
        <v>0</v>
      </c>
      <c r="G38" s="384">
        <f t="shared" si="10"/>
        <v>0</v>
      </c>
      <c r="H38" s="384">
        <f t="shared" si="10"/>
        <v>0</v>
      </c>
      <c r="I38" s="384">
        <f t="shared" si="10"/>
        <v>0</v>
      </c>
      <c r="J38" s="384">
        <f t="shared" si="10"/>
        <v>0</v>
      </c>
      <c r="K38" s="384">
        <f t="shared" si="10"/>
        <v>0</v>
      </c>
      <c r="L38" s="384">
        <f t="shared" si="10"/>
        <v>0</v>
      </c>
      <c r="M38" s="384">
        <f t="shared" si="10"/>
        <v>0</v>
      </c>
      <c r="N38" s="384">
        <f t="shared" si="10"/>
        <v>0</v>
      </c>
      <c r="O38" s="384">
        <f t="shared" si="10"/>
        <v>0</v>
      </c>
      <c r="P38" s="384">
        <f t="shared" si="10"/>
        <v>0</v>
      </c>
      <c r="Q38" s="384">
        <f t="shared" si="10"/>
        <v>0</v>
      </c>
      <c r="R38" s="384">
        <f t="shared" si="10"/>
        <v>0</v>
      </c>
      <c r="S38" s="384">
        <f t="shared" si="10"/>
        <v>0</v>
      </c>
      <c r="T38" s="384">
        <f>SUM(T40:T44)</f>
        <v>0</v>
      </c>
      <c r="U38" s="384">
        <f>SUM(U40:U44)</f>
        <v>0</v>
      </c>
      <c r="V38" s="384">
        <f>SUM(V40:V44)</f>
        <v>0</v>
      </c>
      <c r="W38" s="384">
        <f t="shared" si="8"/>
        <v>514056945</v>
      </c>
    </row>
    <row r="39" spans="1:23" ht="21.75" customHeight="1">
      <c r="A39" s="49" t="s">
        <v>333</v>
      </c>
      <c r="B39" s="177" t="s">
        <v>754</v>
      </c>
      <c r="C39" s="50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</row>
    <row r="40" spans="1:23" ht="21.75" customHeight="1">
      <c r="A40" s="49" t="s">
        <v>334</v>
      </c>
      <c r="B40" s="56" t="s">
        <v>713</v>
      </c>
      <c r="C40" s="5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>
        <f t="shared" si="8"/>
        <v>0</v>
      </c>
    </row>
    <row r="41" spans="1:23" ht="21.75" customHeight="1">
      <c r="A41" s="49" t="s">
        <v>341</v>
      </c>
      <c r="B41" s="56" t="s">
        <v>714</v>
      </c>
      <c r="C41" s="5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>
        <f t="shared" si="8"/>
        <v>0</v>
      </c>
    </row>
    <row r="42" spans="1:23" ht="21.75" customHeight="1">
      <c r="A42" s="49" t="s">
        <v>342</v>
      </c>
      <c r="B42" s="56" t="s">
        <v>715</v>
      </c>
      <c r="C42" s="54"/>
      <c r="D42" s="384">
        <f>W27-W30-W32-W33-W35-W40</f>
        <v>468561545</v>
      </c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>
        <f t="shared" si="8"/>
        <v>468561545</v>
      </c>
    </row>
    <row r="43" spans="1:23" ht="21.75" customHeight="1">
      <c r="A43" s="49" t="s">
        <v>343</v>
      </c>
      <c r="B43" s="56" t="s">
        <v>716</v>
      </c>
      <c r="C43" s="54"/>
      <c r="D43" s="384">
        <f>W28-W31-W34-W36-W41</f>
        <v>45495400</v>
      </c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>
        <f t="shared" si="8"/>
        <v>45495400</v>
      </c>
    </row>
    <row r="44" spans="1:23" ht="21.75" customHeight="1">
      <c r="A44" s="49" t="s">
        <v>344</v>
      </c>
      <c r="B44" s="56" t="s">
        <v>769</v>
      </c>
      <c r="C44" s="5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>
        <f t="shared" si="8"/>
        <v>0</v>
      </c>
    </row>
    <row r="45" spans="1:23" ht="21.75" customHeight="1">
      <c r="A45" s="49" t="s">
        <v>345</v>
      </c>
      <c r="B45" s="510" t="s">
        <v>1409</v>
      </c>
      <c r="C45" s="5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</row>
    <row r="46" spans="1:24" ht="21.75" customHeight="1">
      <c r="A46" s="49" t="s">
        <v>346</v>
      </c>
      <c r="B46" s="57" t="s">
        <v>145</v>
      </c>
      <c r="C46" s="50"/>
      <c r="D46" s="385">
        <f>+D30+D32+D33+D35+D40+D42</f>
        <v>468561545</v>
      </c>
      <c r="E46" s="385">
        <f aca="true" t="shared" si="11" ref="E46:S46">+E30+E32+E33+E35+E40+E42</f>
        <v>3970000</v>
      </c>
      <c r="F46" s="385">
        <f t="shared" si="11"/>
        <v>4191000</v>
      </c>
      <c r="G46" s="385">
        <f t="shared" si="11"/>
        <v>2320000</v>
      </c>
      <c r="H46" s="385">
        <f t="shared" si="11"/>
        <v>1000000</v>
      </c>
      <c r="I46" s="385">
        <f t="shared" si="11"/>
        <v>435000</v>
      </c>
      <c r="J46" s="385">
        <f t="shared" si="11"/>
        <v>0</v>
      </c>
      <c r="K46" s="385">
        <f t="shared" si="11"/>
        <v>0</v>
      </c>
      <c r="L46" s="385">
        <f t="shared" si="11"/>
        <v>0</v>
      </c>
      <c r="M46" s="385">
        <f t="shared" si="11"/>
        <v>0</v>
      </c>
      <c r="N46" s="385">
        <f t="shared" si="11"/>
        <v>45000000</v>
      </c>
      <c r="O46" s="385">
        <f t="shared" si="11"/>
        <v>1090000</v>
      </c>
      <c r="P46" s="385">
        <f t="shared" si="11"/>
        <v>39750500</v>
      </c>
      <c r="Q46" s="385">
        <f t="shared" si="11"/>
        <v>79826000</v>
      </c>
      <c r="R46" s="385">
        <f t="shared" si="11"/>
        <v>5919000</v>
      </c>
      <c r="S46" s="385">
        <f t="shared" si="11"/>
        <v>3433750</v>
      </c>
      <c r="T46" s="385">
        <f>+T30+T32+T33+T35+T40+T42</f>
        <v>27641936</v>
      </c>
      <c r="U46" s="385">
        <f>+U30+U32+U33+U35+U40+U42</f>
        <v>901700</v>
      </c>
      <c r="V46" s="385">
        <f>+V30+V32+V33+V35+V40+V42</f>
        <v>0</v>
      </c>
      <c r="W46" s="385">
        <f t="shared" si="8"/>
        <v>684040431</v>
      </c>
      <c r="X46" s="165">
        <f>W42+W35+W33+W32+W30</f>
        <v>684040431</v>
      </c>
    </row>
    <row r="47" spans="1:24" ht="21.75" customHeight="1">
      <c r="A47" s="49" t="s">
        <v>347</v>
      </c>
      <c r="B47" s="57" t="s">
        <v>146</v>
      </c>
      <c r="C47" s="50"/>
      <c r="D47" s="385">
        <f aca="true" t="shared" si="12" ref="D47:V47">+D31+D34+D36+D41+D428+D44+D43</f>
        <v>45495400</v>
      </c>
      <c r="E47" s="385">
        <f t="shared" si="12"/>
        <v>0</v>
      </c>
      <c r="F47" s="385">
        <f t="shared" si="12"/>
        <v>0</v>
      </c>
      <c r="G47" s="385">
        <f t="shared" si="12"/>
        <v>0</v>
      </c>
      <c r="H47" s="385">
        <f t="shared" si="12"/>
        <v>0</v>
      </c>
      <c r="I47" s="385">
        <f t="shared" si="12"/>
        <v>0</v>
      </c>
      <c r="J47" s="385">
        <f t="shared" si="12"/>
        <v>0</v>
      </c>
      <c r="K47" s="385">
        <f t="shared" si="12"/>
        <v>0</v>
      </c>
      <c r="L47" s="385">
        <f t="shared" si="12"/>
        <v>0</v>
      </c>
      <c r="M47" s="385">
        <f t="shared" si="12"/>
        <v>0</v>
      </c>
      <c r="N47" s="385">
        <f t="shared" si="12"/>
        <v>0</v>
      </c>
      <c r="O47" s="385">
        <f t="shared" si="12"/>
        <v>0</v>
      </c>
      <c r="P47" s="385">
        <f t="shared" si="12"/>
        <v>0</v>
      </c>
      <c r="Q47" s="385">
        <f t="shared" si="12"/>
        <v>0</v>
      </c>
      <c r="R47" s="385">
        <f t="shared" si="12"/>
        <v>0</v>
      </c>
      <c r="S47" s="385">
        <f t="shared" si="12"/>
        <v>0</v>
      </c>
      <c r="T47" s="385">
        <f t="shared" si="12"/>
        <v>0</v>
      </c>
      <c r="U47" s="385">
        <f t="shared" si="12"/>
        <v>0</v>
      </c>
      <c r="V47" s="385">
        <f t="shared" si="12"/>
        <v>0</v>
      </c>
      <c r="W47" s="385">
        <f t="shared" si="8"/>
        <v>45495400</v>
      </c>
      <c r="X47" s="165">
        <f>W43+W36+W34+W31</f>
        <v>45495400</v>
      </c>
    </row>
    <row r="48" spans="1:24" ht="21.75" customHeight="1">
      <c r="A48" s="49" t="s">
        <v>348</v>
      </c>
      <c r="B48" s="57" t="s">
        <v>399</v>
      </c>
      <c r="C48" s="50"/>
      <c r="D48" s="385">
        <f aca="true" t="shared" si="13" ref="D48:S48">+D46+D47</f>
        <v>514056945</v>
      </c>
      <c r="E48" s="385">
        <f t="shared" si="13"/>
        <v>3970000</v>
      </c>
      <c r="F48" s="385">
        <f t="shared" si="13"/>
        <v>4191000</v>
      </c>
      <c r="G48" s="385">
        <f t="shared" si="13"/>
        <v>2320000</v>
      </c>
      <c r="H48" s="385">
        <f t="shared" si="13"/>
        <v>1000000</v>
      </c>
      <c r="I48" s="385">
        <f t="shared" si="13"/>
        <v>435000</v>
      </c>
      <c r="J48" s="385">
        <f t="shared" si="13"/>
        <v>0</v>
      </c>
      <c r="K48" s="385">
        <f t="shared" si="13"/>
        <v>0</v>
      </c>
      <c r="L48" s="385">
        <f t="shared" si="13"/>
        <v>0</v>
      </c>
      <c r="M48" s="385">
        <f t="shared" si="13"/>
        <v>0</v>
      </c>
      <c r="N48" s="385">
        <f t="shared" si="13"/>
        <v>45000000</v>
      </c>
      <c r="O48" s="385">
        <f t="shared" si="13"/>
        <v>1090000</v>
      </c>
      <c r="P48" s="385">
        <f t="shared" si="13"/>
        <v>39750500</v>
      </c>
      <c r="Q48" s="385">
        <f t="shared" si="13"/>
        <v>79826000</v>
      </c>
      <c r="R48" s="385">
        <f t="shared" si="13"/>
        <v>5919000</v>
      </c>
      <c r="S48" s="385">
        <f t="shared" si="13"/>
        <v>3433750</v>
      </c>
      <c r="T48" s="385">
        <f>+T46+T47</f>
        <v>27641936</v>
      </c>
      <c r="U48" s="385">
        <f>+U46+U47</f>
        <v>901700</v>
      </c>
      <c r="V48" s="385">
        <f>+V46+V47</f>
        <v>0</v>
      </c>
      <c r="W48" s="385">
        <f t="shared" si="8"/>
        <v>729535831</v>
      </c>
      <c r="X48" s="165">
        <f>X46+X47</f>
        <v>729535831</v>
      </c>
    </row>
    <row r="49" spans="1:25" ht="21.75" customHeight="1">
      <c r="A49" s="49" t="s">
        <v>349</v>
      </c>
      <c r="B49" s="90" t="s">
        <v>551</v>
      </c>
      <c r="C49" s="391"/>
      <c r="D49" s="384"/>
      <c r="E49" s="384">
        <f>'12.sz.mell. Létszámtábla'!C30</f>
        <v>8</v>
      </c>
      <c r="F49" s="384">
        <f>'12.sz.mell. Létszámtábla'!C31</f>
        <v>1</v>
      </c>
      <c r="G49" s="384">
        <f>'12.sz.mell. Létszámtábla'!C32</f>
        <v>3</v>
      </c>
      <c r="H49" s="384">
        <f>'12.sz.mell. Létszámtábla'!C33</f>
        <v>2</v>
      </c>
      <c r="I49" s="384"/>
      <c r="J49" s="384"/>
      <c r="K49" s="384">
        <f>'12.sz.mell. Létszámtábla'!C34</f>
        <v>2</v>
      </c>
      <c r="L49" s="384">
        <f>'12.sz.mell. Létszámtábla'!C35</f>
        <v>3</v>
      </c>
      <c r="M49" s="384">
        <f>'12.sz.mell. Létszámtábla'!C36</f>
        <v>2</v>
      </c>
      <c r="N49" s="384">
        <f>'12.sz.mell. Létszámtábla'!C37</f>
        <v>10</v>
      </c>
      <c r="O49" s="384">
        <f>'12.sz.mell. Létszámtábla'!C38</f>
        <v>2</v>
      </c>
      <c r="P49" s="384">
        <v>0</v>
      </c>
      <c r="Q49" s="384">
        <f>'12.sz.mell. Létszámtábla'!C39</f>
        <v>1</v>
      </c>
      <c r="R49" s="384">
        <v>0</v>
      </c>
      <c r="S49" s="384"/>
      <c r="T49" s="384"/>
      <c r="U49" s="384"/>
      <c r="V49" s="384"/>
      <c r="W49" s="384">
        <f t="shared" si="8"/>
        <v>34</v>
      </c>
      <c r="Y49" s="165">
        <f>W48-W29</f>
        <v>0</v>
      </c>
    </row>
    <row r="50" spans="1:25" ht="21.75" customHeight="1">
      <c r="A50" s="49" t="s">
        <v>350</v>
      </c>
      <c r="B50" s="90" t="s">
        <v>899</v>
      </c>
      <c r="C50" s="391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>
        <f t="shared" si="8"/>
        <v>0</v>
      </c>
      <c r="Y50" s="165"/>
    </row>
  </sheetData>
  <sheetProtection/>
  <mergeCells count="29">
    <mergeCell ref="T5:T6"/>
    <mergeCell ref="D5:D6"/>
    <mergeCell ref="P5:P6"/>
    <mergeCell ref="D2:H2"/>
    <mergeCell ref="I2:M2"/>
    <mergeCell ref="Q5:Q6"/>
    <mergeCell ref="F5:F6"/>
    <mergeCell ref="S5:S6"/>
    <mergeCell ref="K5:K6"/>
    <mergeCell ref="J5:J6"/>
    <mergeCell ref="A3:A6"/>
    <mergeCell ref="B3:C3"/>
    <mergeCell ref="G5:G6"/>
    <mergeCell ref="R5:R6"/>
    <mergeCell ref="B5:C5"/>
    <mergeCell ref="L5:L6"/>
    <mergeCell ref="M5:M6"/>
    <mergeCell ref="N5:N6"/>
    <mergeCell ref="O5:O6"/>
    <mergeCell ref="U5:U6"/>
    <mergeCell ref="V5:V6"/>
    <mergeCell ref="S2:W2"/>
    <mergeCell ref="N2:R2"/>
    <mergeCell ref="W3:W6"/>
    <mergeCell ref="B4:C4"/>
    <mergeCell ref="A2:C2"/>
    <mergeCell ref="E5:E6"/>
    <mergeCell ref="H5:H6"/>
    <mergeCell ref="I5:I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5" r:id="rId1"/>
  <headerFooter alignWithMargins="0">
    <oddHeader>&amp;C2019. évi költségvetés&amp;R&amp;A</oddHeader>
    <oddFooter>&amp;C&amp;P/&amp;N</oddFooter>
  </headerFooter>
  <colBreaks count="3" manualBreakCount="3">
    <brk id="8" min="1" max="47" man="1"/>
    <brk id="13" min="1" max="47" man="1"/>
    <brk id="18" min="1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view="pageBreakPreview" zoomScale="80" zoomScaleSheetLayoutView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" sqref="J5:J6"/>
    </sheetView>
  </sheetViews>
  <sheetFormatPr defaultColWidth="9.00390625" defaultRowHeight="12.75"/>
  <cols>
    <col min="1" max="1" width="6.375" style="41" customWidth="1"/>
    <col min="2" max="2" width="64.875" style="41" customWidth="1"/>
    <col min="3" max="3" width="7.875" style="41" customWidth="1"/>
    <col min="4" max="4" width="17.25390625" style="42" customWidth="1"/>
    <col min="5" max="5" width="19.125" style="42" customWidth="1"/>
    <col min="6" max="6" width="18.25390625" style="42" customWidth="1"/>
    <col min="7" max="7" width="17.25390625" style="42" customWidth="1"/>
    <col min="8" max="8" width="17.75390625" style="42" customWidth="1"/>
    <col min="9" max="10" width="18.375" style="42" customWidth="1"/>
    <col min="11" max="11" width="15.875" style="42" customWidth="1"/>
    <col min="12" max="12" width="16.375" style="41" customWidth="1"/>
    <col min="13" max="13" width="17.75390625" style="41" customWidth="1"/>
    <col min="14" max="16384" width="9.125" style="41" customWidth="1"/>
  </cols>
  <sheetData>
    <row r="1" spans="1:11" ht="15.75">
      <c r="A1" s="376"/>
      <c r="B1" s="376"/>
      <c r="C1" s="376"/>
      <c r="D1" s="378"/>
      <c r="E1" s="378"/>
      <c r="F1" s="378"/>
      <c r="G1" s="379" t="s">
        <v>541</v>
      </c>
      <c r="H1" s="378"/>
      <c r="I1" s="378"/>
      <c r="J1" s="378"/>
      <c r="K1" s="379" t="s">
        <v>541</v>
      </c>
    </row>
    <row r="2" spans="1:11" ht="36.75" customHeight="1">
      <c r="A2" s="1204" t="s">
        <v>176</v>
      </c>
      <c r="B2" s="1204"/>
      <c r="C2" s="1204"/>
      <c r="D2" s="1209" t="s">
        <v>923</v>
      </c>
      <c r="E2" s="1210"/>
      <c r="F2" s="1210"/>
      <c r="G2" s="1213"/>
      <c r="H2" s="1210" t="s">
        <v>923</v>
      </c>
      <c r="I2" s="1210"/>
      <c r="J2" s="1210"/>
      <c r="K2" s="1213"/>
    </row>
    <row r="3" spans="1:11" s="44" customFormat="1" ht="79.5" customHeight="1">
      <c r="A3" s="1203" t="s">
        <v>244</v>
      </c>
      <c r="B3" s="1204" t="s">
        <v>302</v>
      </c>
      <c r="C3" s="1204"/>
      <c r="D3" s="380" t="s">
        <v>607</v>
      </c>
      <c r="E3" s="381" t="s">
        <v>606</v>
      </c>
      <c r="F3" s="381" t="s">
        <v>426</v>
      </c>
      <c r="G3" s="381" t="s">
        <v>430</v>
      </c>
      <c r="H3" s="381" t="s">
        <v>236</v>
      </c>
      <c r="I3" s="382" t="s">
        <v>624</v>
      </c>
      <c r="J3" s="381" t="s">
        <v>430</v>
      </c>
      <c r="K3" s="1206" t="s">
        <v>178</v>
      </c>
    </row>
    <row r="4" spans="1:11" s="44" customFormat="1" ht="25.5" customHeight="1">
      <c r="A4" s="1203"/>
      <c r="B4" s="1204" t="s">
        <v>12</v>
      </c>
      <c r="C4" s="1204"/>
      <c r="D4" s="380" t="s">
        <v>280</v>
      </c>
      <c r="E4" s="380" t="s">
        <v>280</v>
      </c>
      <c r="F4" s="380" t="s">
        <v>280</v>
      </c>
      <c r="G4" s="380" t="s">
        <v>280</v>
      </c>
      <c r="H4" s="380" t="s">
        <v>280</v>
      </c>
      <c r="I4" s="380" t="s">
        <v>280</v>
      </c>
      <c r="J4" s="380" t="s">
        <v>280</v>
      </c>
      <c r="K4" s="1206"/>
    </row>
    <row r="5" spans="1:11" s="44" customFormat="1" ht="15.75" customHeight="1">
      <c r="A5" s="1203"/>
      <c r="B5" s="1188" t="s">
        <v>1308</v>
      </c>
      <c r="C5" s="1188"/>
      <c r="D5" s="1206" t="s">
        <v>422</v>
      </c>
      <c r="E5" s="1220" t="s">
        <v>428</v>
      </c>
      <c r="F5" s="1218" t="s">
        <v>427</v>
      </c>
      <c r="G5" s="1222" t="s">
        <v>429</v>
      </c>
      <c r="H5" s="1218" t="s">
        <v>615</v>
      </c>
      <c r="I5" s="1207" t="s">
        <v>625</v>
      </c>
      <c r="J5" s="1218" t="s">
        <v>223</v>
      </c>
      <c r="K5" s="1206"/>
    </row>
    <row r="6" spans="1:11" ht="73.5" customHeight="1">
      <c r="A6" s="1203"/>
      <c r="B6" s="45" t="s">
        <v>245</v>
      </c>
      <c r="C6" s="248" t="s">
        <v>303</v>
      </c>
      <c r="D6" s="1206"/>
      <c r="E6" s="1221"/>
      <c r="F6" s="1212"/>
      <c r="G6" s="1223"/>
      <c r="H6" s="1212"/>
      <c r="I6" s="1208"/>
      <c r="J6" s="1212"/>
      <c r="K6" s="1206"/>
    </row>
    <row r="7" spans="1:11" ht="15.75">
      <c r="A7" s="47" t="s">
        <v>246</v>
      </c>
      <c r="B7" s="48" t="s">
        <v>247</v>
      </c>
      <c r="C7" s="48" t="s">
        <v>248</v>
      </c>
      <c r="D7" s="383" t="s">
        <v>249</v>
      </c>
      <c r="E7" s="383" t="s">
        <v>250</v>
      </c>
      <c r="F7" s="383" t="s">
        <v>251</v>
      </c>
      <c r="G7" s="383" t="s">
        <v>252</v>
      </c>
      <c r="H7" s="383" t="s">
        <v>253</v>
      </c>
      <c r="I7" s="383" t="s">
        <v>254</v>
      </c>
      <c r="J7" s="383" t="s">
        <v>255</v>
      </c>
      <c r="K7" s="383" t="s">
        <v>256</v>
      </c>
    </row>
    <row r="8" spans="1:13" ht="21.75" customHeight="1">
      <c r="A8" s="49" t="s">
        <v>246</v>
      </c>
      <c r="B8" s="46" t="s">
        <v>405</v>
      </c>
      <c r="C8" s="50" t="s">
        <v>257</v>
      </c>
      <c r="D8" s="384"/>
      <c r="E8" s="384"/>
      <c r="F8" s="384"/>
      <c r="G8" s="384">
        <v>27638289</v>
      </c>
      <c r="H8" s="384"/>
      <c r="I8" s="384"/>
      <c r="J8" s="384"/>
      <c r="K8" s="384">
        <f>SUM(D8:J8)</f>
        <v>27638289</v>
      </c>
      <c r="L8" s="41">
        <v>26383192</v>
      </c>
      <c r="M8" s="165">
        <f>L8-K8</f>
        <v>-1255097</v>
      </c>
    </row>
    <row r="9" spans="1:13" ht="21.75" customHeight="1">
      <c r="A9" s="49" t="s">
        <v>247</v>
      </c>
      <c r="B9" s="51" t="s">
        <v>258</v>
      </c>
      <c r="C9" s="50" t="s">
        <v>259</v>
      </c>
      <c r="D9" s="384"/>
      <c r="E9" s="384"/>
      <c r="F9" s="384"/>
      <c r="G9" s="384">
        <f>5575696+220000</f>
        <v>5795696</v>
      </c>
      <c r="H9" s="384"/>
      <c r="I9" s="384"/>
      <c r="J9" s="384"/>
      <c r="K9" s="384">
        <f aca="true" t="shared" si="0" ref="K9:K19">SUM(D9:J9)</f>
        <v>5795696</v>
      </c>
      <c r="L9" s="41">
        <v>5676903</v>
      </c>
      <c r="M9" s="165">
        <f>L9-K9</f>
        <v>-118793</v>
      </c>
    </row>
    <row r="10" spans="1:13" ht="21.75" customHeight="1">
      <c r="A10" s="49" t="s">
        <v>248</v>
      </c>
      <c r="B10" s="51" t="s">
        <v>406</v>
      </c>
      <c r="C10" s="50" t="s">
        <v>260</v>
      </c>
      <c r="D10" s="384"/>
      <c r="E10" s="384">
        <v>5111450</v>
      </c>
      <c r="F10" s="384"/>
      <c r="G10" s="384">
        <f>7038620+91950</f>
        <v>7130570</v>
      </c>
      <c r="H10" s="384"/>
      <c r="I10" s="384">
        <v>144355</v>
      </c>
      <c r="J10" s="384"/>
      <c r="K10" s="384">
        <f t="shared" si="0"/>
        <v>12386375</v>
      </c>
      <c r="M10" s="165">
        <f>SUM(M8:M9)</f>
        <v>-1373890</v>
      </c>
    </row>
    <row r="11" spans="1:11" ht="21.75" customHeight="1">
      <c r="A11" s="49" t="s">
        <v>249</v>
      </c>
      <c r="B11" s="52" t="s">
        <v>407</v>
      </c>
      <c r="C11" s="50" t="s">
        <v>261</v>
      </c>
      <c r="D11" s="384"/>
      <c r="E11" s="384"/>
      <c r="F11" s="384"/>
      <c r="G11" s="384"/>
      <c r="H11" s="384"/>
      <c r="I11" s="384"/>
      <c r="J11" s="384"/>
      <c r="K11" s="384">
        <f t="shared" si="0"/>
        <v>0</v>
      </c>
    </row>
    <row r="12" spans="1:11" ht="21.75" customHeight="1">
      <c r="A12" s="49" t="s">
        <v>250</v>
      </c>
      <c r="B12" s="52" t="s">
        <v>292</v>
      </c>
      <c r="C12" s="50" t="s">
        <v>262</v>
      </c>
      <c r="D12" s="384">
        <f aca="true" t="shared" si="1" ref="D12:J12">SUM(D13:D15)</f>
        <v>0</v>
      </c>
      <c r="E12" s="384">
        <f t="shared" si="1"/>
        <v>0</v>
      </c>
      <c r="F12" s="384">
        <f t="shared" si="1"/>
        <v>0</v>
      </c>
      <c r="G12" s="384">
        <f t="shared" si="1"/>
        <v>0</v>
      </c>
      <c r="H12" s="384">
        <f t="shared" si="1"/>
        <v>0</v>
      </c>
      <c r="I12" s="384">
        <f t="shared" si="1"/>
        <v>0</v>
      </c>
      <c r="J12" s="384">
        <f t="shared" si="1"/>
        <v>0</v>
      </c>
      <c r="K12" s="384">
        <f t="shared" si="0"/>
        <v>0</v>
      </c>
    </row>
    <row r="13" spans="1:11" ht="21.75" customHeight="1">
      <c r="A13" s="49" t="s">
        <v>251</v>
      </c>
      <c r="B13" s="53" t="s">
        <v>159</v>
      </c>
      <c r="C13" s="50"/>
      <c r="D13" s="384"/>
      <c r="E13" s="384"/>
      <c r="F13" s="384"/>
      <c r="G13" s="384"/>
      <c r="H13" s="384"/>
      <c r="I13" s="384"/>
      <c r="J13" s="384"/>
      <c r="K13" s="384">
        <f t="shared" si="0"/>
        <v>0</v>
      </c>
    </row>
    <row r="14" spans="1:11" ht="21.75" customHeight="1">
      <c r="A14" s="49" t="s">
        <v>252</v>
      </c>
      <c r="B14" s="53" t="s">
        <v>148</v>
      </c>
      <c r="C14" s="54"/>
      <c r="D14" s="384"/>
      <c r="E14" s="384"/>
      <c r="F14" s="384"/>
      <c r="G14" s="384"/>
      <c r="H14" s="384"/>
      <c r="I14" s="384"/>
      <c r="J14" s="384"/>
      <c r="K14" s="384">
        <f t="shared" si="0"/>
        <v>0</v>
      </c>
    </row>
    <row r="15" spans="1:11" ht="21.75" customHeight="1">
      <c r="A15" s="49" t="s">
        <v>253</v>
      </c>
      <c r="B15" s="175" t="s">
        <v>738</v>
      </c>
      <c r="C15" s="54"/>
      <c r="D15" s="384"/>
      <c r="E15" s="384"/>
      <c r="F15" s="384"/>
      <c r="G15" s="384"/>
      <c r="H15" s="384"/>
      <c r="I15" s="384"/>
      <c r="J15" s="384"/>
      <c r="K15" s="384">
        <f t="shared" si="0"/>
        <v>0</v>
      </c>
    </row>
    <row r="16" spans="1:11" ht="21.75" customHeight="1">
      <c r="A16" s="49" t="s">
        <v>254</v>
      </c>
      <c r="B16" s="55" t="s">
        <v>299</v>
      </c>
      <c r="C16" s="50" t="s">
        <v>263</v>
      </c>
      <c r="D16" s="384"/>
      <c r="E16" s="384"/>
      <c r="F16" s="384"/>
      <c r="G16" s="384">
        <v>717500</v>
      </c>
      <c r="H16" s="384"/>
      <c r="I16" s="384"/>
      <c r="J16" s="384"/>
      <c r="K16" s="384">
        <f t="shared" si="0"/>
        <v>717500</v>
      </c>
    </row>
    <row r="17" spans="1:11" ht="21.75" customHeight="1">
      <c r="A17" s="49" t="s">
        <v>255</v>
      </c>
      <c r="B17" s="52" t="s">
        <v>408</v>
      </c>
      <c r="C17" s="50" t="s">
        <v>264</v>
      </c>
      <c r="D17" s="384"/>
      <c r="E17" s="384"/>
      <c r="F17" s="384"/>
      <c r="G17" s="384"/>
      <c r="H17" s="384"/>
      <c r="I17" s="384"/>
      <c r="J17" s="384"/>
      <c r="K17" s="384">
        <f>SUM(D17:J17)</f>
        <v>0</v>
      </c>
    </row>
    <row r="18" spans="1:11" ht="21.75" customHeight="1">
      <c r="A18" s="49" t="s">
        <v>256</v>
      </c>
      <c r="B18" s="52" t="s">
        <v>293</v>
      </c>
      <c r="C18" s="50" t="s">
        <v>265</v>
      </c>
      <c r="D18" s="384"/>
      <c r="E18" s="384"/>
      <c r="F18" s="384"/>
      <c r="G18" s="384"/>
      <c r="H18" s="384"/>
      <c r="I18" s="384"/>
      <c r="J18" s="384"/>
      <c r="K18" s="384">
        <f t="shared" si="0"/>
        <v>0</v>
      </c>
    </row>
    <row r="19" spans="1:11" ht="21.75" customHeight="1">
      <c r="A19" s="49" t="s">
        <v>283</v>
      </c>
      <c r="B19" s="52" t="s">
        <v>158</v>
      </c>
      <c r="C19" s="50"/>
      <c r="D19" s="384"/>
      <c r="E19" s="384"/>
      <c r="F19" s="384"/>
      <c r="G19" s="384"/>
      <c r="H19" s="384"/>
      <c r="I19" s="384"/>
      <c r="J19" s="384"/>
      <c r="K19" s="384">
        <f t="shared" si="0"/>
        <v>0</v>
      </c>
    </row>
    <row r="20" spans="1:12" ht="21.75" customHeight="1">
      <c r="A20" s="49" t="s">
        <v>284</v>
      </c>
      <c r="B20" s="55" t="s">
        <v>294</v>
      </c>
      <c r="C20" s="50" t="s">
        <v>266</v>
      </c>
      <c r="D20" s="384">
        <f aca="true" t="shared" si="2" ref="D20:I20">+D8+D9+D10+D11+D12+D16+D17+D18+D15</f>
        <v>0</v>
      </c>
      <c r="E20" s="384">
        <f t="shared" si="2"/>
        <v>5111450</v>
      </c>
      <c r="F20" s="384">
        <f t="shared" si="2"/>
        <v>0</v>
      </c>
      <c r="G20" s="384">
        <f t="shared" si="2"/>
        <v>41282055</v>
      </c>
      <c r="H20" s="384">
        <f t="shared" si="2"/>
        <v>0</v>
      </c>
      <c r="I20" s="384">
        <f t="shared" si="2"/>
        <v>144355</v>
      </c>
      <c r="J20" s="384">
        <f>+J8+J9+J10+J11+J12+J16+J17+J18+J15</f>
        <v>0</v>
      </c>
      <c r="K20" s="384">
        <f>SUM(D20:I20)</f>
        <v>46537860</v>
      </c>
      <c r="L20" s="165">
        <f>K8+K9+K10+K11+K12+K16++K17+K18</f>
        <v>46537860</v>
      </c>
    </row>
    <row r="21" spans="1:11" ht="21.75" customHeight="1">
      <c r="A21" s="49" t="s">
        <v>285</v>
      </c>
      <c r="B21" s="55" t="s">
        <v>279</v>
      </c>
      <c r="C21" s="50" t="s">
        <v>275</v>
      </c>
      <c r="D21" s="384">
        <f aca="true" t="shared" si="3" ref="D21:I21">SUM(D22:D25)</f>
        <v>0</v>
      </c>
      <c r="E21" s="384">
        <f t="shared" si="3"/>
        <v>0</v>
      </c>
      <c r="F21" s="384">
        <f t="shared" si="3"/>
        <v>0</v>
      </c>
      <c r="G21" s="384">
        <f t="shared" si="3"/>
        <v>0</v>
      </c>
      <c r="H21" s="384">
        <f t="shared" si="3"/>
        <v>0</v>
      </c>
      <c r="I21" s="384">
        <f t="shared" si="3"/>
        <v>0</v>
      </c>
      <c r="J21" s="384">
        <f>SUM(J22:J25)</f>
        <v>0</v>
      </c>
      <c r="K21" s="384">
        <f aca="true" t="shared" si="4" ref="K21:K30">SUM(D21:J21)</f>
        <v>0</v>
      </c>
    </row>
    <row r="22" spans="1:11" ht="21.75" customHeight="1">
      <c r="A22" s="49" t="s">
        <v>286</v>
      </c>
      <c r="B22" s="177" t="s">
        <v>232</v>
      </c>
      <c r="C22" s="54"/>
      <c r="D22" s="384"/>
      <c r="E22" s="384"/>
      <c r="F22" s="384"/>
      <c r="G22" s="384"/>
      <c r="H22" s="384"/>
      <c r="I22" s="384"/>
      <c r="J22" s="384"/>
      <c r="K22" s="384">
        <f t="shared" si="4"/>
        <v>0</v>
      </c>
    </row>
    <row r="23" spans="1:11" ht="21.75" customHeight="1">
      <c r="A23" s="49" t="s">
        <v>287</v>
      </c>
      <c r="B23" s="56" t="s">
        <v>741</v>
      </c>
      <c r="C23" s="54"/>
      <c r="D23" s="384"/>
      <c r="E23" s="384"/>
      <c r="F23" s="384"/>
      <c r="G23" s="384"/>
      <c r="H23" s="384"/>
      <c r="I23" s="384"/>
      <c r="J23" s="384"/>
      <c r="K23" s="384">
        <f t="shared" si="4"/>
        <v>0</v>
      </c>
    </row>
    <row r="24" spans="1:11" ht="21.75" customHeight="1">
      <c r="A24" s="49" t="s">
        <v>288</v>
      </c>
      <c r="B24" s="56" t="s">
        <v>742</v>
      </c>
      <c r="C24" s="54"/>
      <c r="D24" s="384"/>
      <c r="E24" s="384"/>
      <c r="F24" s="384"/>
      <c r="G24" s="384"/>
      <c r="H24" s="384"/>
      <c r="I24" s="384"/>
      <c r="J24" s="384"/>
      <c r="K24" s="384">
        <f t="shared" si="4"/>
        <v>0</v>
      </c>
    </row>
    <row r="25" spans="1:11" ht="21.75" customHeight="1">
      <c r="A25" s="49" t="s">
        <v>289</v>
      </c>
      <c r="B25" s="56" t="s">
        <v>160</v>
      </c>
      <c r="C25" s="54"/>
      <c r="D25" s="384"/>
      <c r="E25" s="384"/>
      <c r="F25" s="384"/>
      <c r="G25" s="384"/>
      <c r="H25" s="384"/>
      <c r="I25" s="384"/>
      <c r="J25" s="384"/>
      <c r="K25" s="384">
        <f t="shared" si="4"/>
        <v>0</v>
      </c>
    </row>
    <row r="26" spans="1:11" ht="21.75" customHeight="1">
      <c r="A26" s="49" t="s">
        <v>290</v>
      </c>
      <c r="B26" s="510" t="s">
        <v>1408</v>
      </c>
      <c r="C26" s="54"/>
      <c r="D26" s="384"/>
      <c r="E26" s="384"/>
      <c r="F26" s="384"/>
      <c r="G26" s="384"/>
      <c r="H26" s="384"/>
      <c r="I26" s="384"/>
      <c r="J26" s="384"/>
      <c r="K26" s="384"/>
    </row>
    <row r="27" spans="1:11" s="58" customFormat="1" ht="21.75" customHeight="1">
      <c r="A27" s="49" t="s">
        <v>291</v>
      </c>
      <c r="B27" s="57" t="s">
        <v>33</v>
      </c>
      <c r="C27" s="50"/>
      <c r="D27" s="385">
        <f aca="true" t="shared" si="5" ref="D27:I27">+D8+D9+D10+D11+D12+D22+D23</f>
        <v>0</v>
      </c>
      <c r="E27" s="385">
        <f t="shared" si="5"/>
        <v>5111450</v>
      </c>
      <c r="F27" s="385">
        <f t="shared" si="5"/>
        <v>0</v>
      </c>
      <c r="G27" s="385">
        <f t="shared" si="5"/>
        <v>40564555</v>
      </c>
      <c r="H27" s="385">
        <f t="shared" si="5"/>
        <v>0</v>
      </c>
      <c r="I27" s="385">
        <f t="shared" si="5"/>
        <v>144355</v>
      </c>
      <c r="J27" s="385">
        <f>+J8+J9+J10+J11+J12+J22+J23</f>
        <v>0</v>
      </c>
      <c r="K27" s="385">
        <f t="shared" si="4"/>
        <v>45820360</v>
      </c>
    </row>
    <row r="28" spans="1:11" s="58" customFormat="1" ht="21.75" customHeight="1">
      <c r="A28" s="49" t="s">
        <v>322</v>
      </c>
      <c r="B28" s="57" t="s">
        <v>34</v>
      </c>
      <c r="C28" s="50"/>
      <c r="D28" s="385">
        <f aca="true" t="shared" si="6" ref="D28:I28">+D16+D17+D18+D24+D25</f>
        <v>0</v>
      </c>
      <c r="E28" s="385">
        <f t="shared" si="6"/>
        <v>0</v>
      </c>
      <c r="F28" s="385">
        <f t="shared" si="6"/>
        <v>0</v>
      </c>
      <c r="G28" s="385">
        <f t="shared" si="6"/>
        <v>717500</v>
      </c>
      <c r="H28" s="385">
        <f t="shared" si="6"/>
        <v>0</v>
      </c>
      <c r="I28" s="385">
        <f t="shared" si="6"/>
        <v>0</v>
      </c>
      <c r="J28" s="385">
        <f>+J16+J17+J18+J24+J25</f>
        <v>0</v>
      </c>
      <c r="K28" s="385">
        <f t="shared" si="4"/>
        <v>717500</v>
      </c>
    </row>
    <row r="29" spans="1:11" s="58" customFormat="1" ht="21.75" customHeight="1">
      <c r="A29" s="49" t="s">
        <v>323</v>
      </c>
      <c r="B29" s="57" t="s">
        <v>398</v>
      </c>
      <c r="C29" s="50" t="s">
        <v>32</v>
      </c>
      <c r="D29" s="385">
        <f aca="true" t="shared" si="7" ref="D29:J29">SUM(D27:D28)</f>
        <v>0</v>
      </c>
      <c r="E29" s="385">
        <f t="shared" si="7"/>
        <v>5111450</v>
      </c>
      <c r="F29" s="385">
        <f t="shared" si="7"/>
        <v>0</v>
      </c>
      <c r="G29" s="385">
        <f t="shared" si="7"/>
        <v>41282055</v>
      </c>
      <c r="H29" s="385">
        <f t="shared" si="7"/>
        <v>0</v>
      </c>
      <c r="I29" s="385">
        <f t="shared" si="7"/>
        <v>144355</v>
      </c>
      <c r="J29" s="385">
        <f t="shared" si="7"/>
        <v>0</v>
      </c>
      <c r="K29" s="385">
        <f t="shared" si="4"/>
        <v>46537860</v>
      </c>
    </row>
    <row r="30" spans="1:11" ht="21.75" customHeight="1">
      <c r="A30" s="49" t="s">
        <v>324</v>
      </c>
      <c r="B30" s="51" t="s">
        <v>54</v>
      </c>
      <c r="C30" s="55" t="s">
        <v>267</v>
      </c>
      <c r="D30" s="384"/>
      <c r="E30" s="384"/>
      <c r="F30" s="384"/>
      <c r="G30" s="384"/>
      <c r="H30" s="384"/>
      <c r="I30" s="384"/>
      <c r="J30" s="384"/>
      <c r="K30" s="384">
        <f t="shared" si="4"/>
        <v>0</v>
      </c>
    </row>
    <row r="31" spans="1:11" ht="21.75" customHeight="1">
      <c r="A31" s="49" t="s">
        <v>325</v>
      </c>
      <c r="B31" s="51" t="s">
        <v>278</v>
      </c>
      <c r="C31" s="55" t="s">
        <v>268</v>
      </c>
      <c r="D31" s="384"/>
      <c r="E31" s="384"/>
      <c r="F31" s="384"/>
      <c r="G31" s="384"/>
      <c r="H31" s="384"/>
      <c r="I31" s="384"/>
      <c r="J31" s="384"/>
      <c r="K31" s="384">
        <f aca="true" t="shared" si="8" ref="K31:K44">SUM(D31:J31)</f>
        <v>0</v>
      </c>
    </row>
    <row r="32" spans="1:11" ht="21.75" customHeight="1">
      <c r="A32" s="49" t="s">
        <v>326</v>
      </c>
      <c r="B32" s="51" t="s">
        <v>277</v>
      </c>
      <c r="C32" s="55" t="s">
        <v>269</v>
      </c>
      <c r="D32" s="384"/>
      <c r="E32" s="384"/>
      <c r="F32" s="384"/>
      <c r="G32" s="384"/>
      <c r="H32" s="384"/>
      <c r="I32" s="384"/>
      <c r="J32" s="384"/>
      <c r="K32" s="384">
        <f t="shared" si="8"/>
        <v>0</v>
      </c>
    </row>
    <row r="33" spans="1:11" ht="21.75" customHeight="1">
      <c r="A33" s="49" t="s">
        <v>327</v>
      </c>
      <c r="B33" s="52" t="s">
        <v>0</v>
      </c>
      <c r="C33" s="55" t="s">
        <v>270</v>
      </c>
      <c r="D33" s="384"/>
      <c r="E33" s="384"/>
      <c r="F33" s="384"/>
      <c r="G33" s="386">
        <v>1752000</v>
      </c>
      <c r="H33" s="386"/>
      <c r="I33" s="386"/>
      <c r="J33" s="386"/>
      <c r="K33" s="384">
        <f>SUM(D33:J33)</f>
        <v>1752000</v>
      </c>
    </row>
    <row r="34" spans="1:11" ht="21.75" customHeight="1">
      <c r="A34" s="49" t="s">
        <v>328</v>
      </c>
      <c r="B34" s="51" t="s">
        <v>300</v>
      </c>
      <c r="C34" s="55" t="s">
        <v>271</v>
      </c>
      <c r="D34" s="384"/>
      <c r="E34" s="384"/>
      <c r="F34" s="384"/>
      <c r="G34" s="384"/>
      <c r="H34" s="384"/>
      <c r="I34" s="384"/>
      <c r="J34" s="384"/>
      <c r="K34" s="384">
        <f t="shared" si="8"/>
        <v>0</v>
      </c>
    </row>
    <row r="35" spans="1:11" ht="21.75" customHeight="1">
      <c r="A35" s="49" t="s">
        <v>329</v>
      </c>
      <c r="B35" s="51" t="s">
        <v>295</v>
      </c>
      <c r="C35" s="55" t="s">
        <v>272</v>
      </c>
      <c r="D35" s="384"/>
      <c r="E35" s="384"/>
      <c r="F35" s="384"/>
      <c r="G35" s="384"/>
      <c r="H35" s="384"/>
      <c r="I35" s="384"/>
      <c r="J35" s="384"/>
      <c r="K35" s="384">
        <f t="shared" si="8"/>
        <v>0</v>
      </c>
    </row>
    <row r="36" spans="1:14" ht="21.75" customHeight="1">
      <c r="A36" s="49" t="s">
        <v>330</v>
      </c>
      <c r="B36" s="51" t="s">
        <v>296</v>
      </c>
      <c r="C36" s="55" t="s">
        <v>273</v>
      </c>
      <c r="D36" s="384"/>
      <c r="E36" s="384"/>
      <c r="F36" s="384"/>
      <c r="G36" s="384"/>
      <c r="H36" s="384"/>
      <c r="I36" s="384"/>
      <c r="J36" s="384"/>
      <c r="K36" s="384">
        <f t="shared" si="8"/>
        <v>0</v>
      </c>
      <c r="N36" s="43"/>
    </row>
    <row r="37" spans="1:12" ht="21.75" customHeight="1">
      <c r="A37" s="49" t="s">
        <v>331</v>
      </c>
      <c r="B37" s="52" t="s">
        <v>297</v>
      </c>
      <c r="C37" s="55" t="s">
        <v>274</v>
      </c>
      <c r="D37" s="384">
        <f aca="true" t="shared" si="9" ref="D37:I37">+D30+D31+D32+D33+D34+D35+D36</f>
        <v>0</v>
      </c>
      <c r="E37" s="384">
        <f t="shared" si="9"/>
        <v>0</v>
      </c>
      <c r="F37" s="384">
        <f t="shared" si="9"/>
        <v>0</v>
      </c>
      <c r="G37" s="384">
        <f t="shared" si="9"/>
        <v>1752000</v>
      </c>
      <c r="H37" s="384">
        <f t="shared" si="9"/>
        <v>0</v>
      </c>
      <c r="I37" s="384">
        <f t="shared" si="9"/>
        <v>0</v>
      </c>
      <c r="J37" s="384">
        <f>+J30+J31+J32+J33+J34+J35+J36</f>
        <v>0</v>
      </c>
      <c r="K37" s="384">
        <f t="shared" si="8"/>
        <v>1752000</v>
      </c>
      <c r="L37" s="165">
        <f>SUM(K30:K36)</f>
        <v>1752000</v>
      </c>
    </row>
    <row r="38" spans="1:11" ht="21.75" customHeight="1">
      <c r="A38" s="49" t="s">
        <v>332</v>
      </c>
      <c r="B38" s="55" t="s">
        <v>298</v>
      </c>
      <c r="C38" s="50" t="s">
        <v>276</v>
      </c>
      <c r="D38" s="384">
        <f aca="true" t="shared" si="10" ref="D38:I38">SUM(D40:D44)</f>
        <v>44641505</v>
      </c>
      <c r="E38" s="384">
        <f t="shared" si="10"/>
        <v>0</v>
      </c>
      <c r="F38" s="384">
        <f t="shared" si="10"/>
        <v>0</v>
      </c>
      <c r="G38" s="384">
        <f t="shared" si="10"/>
        <v>0</v>
      </c>
      <c r="H38" s="384">
        <f t="shared" si="10"/>
        <v>0</v>
      </c>
      <c r="I38" s="384">
        <f t="shared" si="10"/>
        <v>144355</v>
      </c>
      <c r="J38" s="384">
        <f>SUM(J40:J44)</f>
        <v>0</v>
      </c>
      <c r="K38" s="384">
        <f t="shared" si="8"/>
        <v>44785860</v>
      </c>
    </row>
    <row r="39" spans="1:11" ht="21.75" customHeight="1">
      <c r="A39" s="49" t="s">
        <v>333</v>
      </c>
      <c r="B39" s="177" t="s">
        <v>754</v>
      </c>
      <c r="C39" s="50"/>
      <c r="D39" s="384"/>
      <c r="E39" s="384"/>
      <c r="F39" s="384"/>
      <c r="G39" s="384"/>
      <c r="H39" s="384"/>
      <c r="I39" s="384"/>
      <c r="J39" s="384"/>
      <c r="K39" s="384">
        <f t="shared" si="8"/>
        <v>0</v>
      </c>
    </row>
    <row r="40" spans="1:11" ht="21.75" customHeight="1">
      <c r="A40" s="49" t="s">
        <v>334</v>
      </c>
      <c r="B40" s="56" t="s">
        <v>713</v>
      </c>
      <c r="C40" s="54"/>
      <c r="D40" s="384"/>
      <c r="E40" s="384"/>
      <c r="F40" s="384"/>
      <c r="G40" s="384"/>
      <c r="H40" s="384"/>
      <c r="I40" s="384">
        <v>144355</v>
      </c>
      <c r="J40" s="384"/>
      <c r="K40" s="384">
        <f t="shared" si="8"/>
        <v>144355</v>
      </c>
    </row>
    <row r="41" spans="1:11" ht="21.75" customHeight="1">
      <c r="A41" s="49" t="s">
        <v>341</v>
      </c>
      <c r="B41" s="56" t="s">
        <v>714</v>
      </c>
      <c r="C41" s="54"/>
      <c r="D41" s="384"/>
      <c r="E41" s="384"/>
      <c r="F41" s="384"/>
      <c r="G41" s="384"/>
      <c r="H41" s="384"/>
      <c r="I41" s="384"/>
      <c r="J41" s="384"/>
      <c r="K41" s="384">
        <f t="shared" si="8"/>
        <v>0</v>
      </c>
    </row>
    <row r="42" spans="1:11" ht="21.75" customHeight="1">
      <c r="A42" s="49" t="s">
        <v>342</v>
      </c>
      <c r="B42" s="56" t="s">
        <v>715</v>
      </c>
      <c r="C42" s="54"/>
      <c r="D42" s="384">
        <f>+K27-K30-K32-K33-K35-K40</f>
        <v>43924005</v>
      </c>
      <c r="E42" s="384"/>
      <c r="F42" s="384"/>
      <c r="G42" s="384"/>
      <c r="H42" s="384"/>
      <c r="I42" s="384"/>
      <c r="J42" s="384"/>
      <c r="K42" s="384">
        <f t="shared" si="8"/>
        <v>43924005</v>
      </c>
    </row>
    <row r="43" spans="1:11" ht="21.75" customHeight="1">
      <c r="A43" s="49" t="s">
        <v>343</v>
      </c>
      <c r="B43" s="56" t="s">
        <v>716</v>
      </c>
      <c r="C43" s="54"/>
      <c r="D43" s="384">
        <f>+K28-K31-K34-K36-K41</f>
        <v>717500</v>
      </c>
      <c r="E43" s="384"/>
      <c r="F43" s="384"/>
      <c r="G43" s="384"/>
      <c r="H43" s="384"/>
      <c r="I43" s="384"/>
      <c r="J43" s="384"/>
      <c r="K43" s="384">
        <f t="shared" si="8"/>
        <v>717500</v>
      </c>
    </row>
    <row r="44" spans="1:11" ht="21.75" customHeight="1">
      <c r="A44" s="49" t="s">
        <v>344</v>
      </c>
      <c r="B44" s="56" t="s">
        <v>769</v>
      </c>
      <c r="C44" s="54"/>
      <c r="D44" s="384"/>
      <c r="E44" s="384"/>
      <c r="F44" s="384"/>
      <c r="G44" s="384"/>
      <c r="H44" s="384"/>
      <c r="I44" s="384"/>
      <c r="J44" s="384"/>
      <c r="K44" s="384">
        <f t="shared" si="8"/>
        <v>0</v>
      </c>
    </row>
    <row r="45" spans="1:11" ht="21.75" customHeight="1">
      <c r="A45" s="49" t="s">
        <v>345</v>
      </c>
      <c r="B45" s="510" t="s">
        <v>1409</v>
      </c>
      <c r="C45" s="54"/>
      <c r="D45" s="384"/>
      <c r="E45" s="384"/>
      <c r="F45" s="384"/>
      <c r="G45" s="384"/>
      <c r="H45" s="384"/>
      <c r="I45" s="384"/>
      <c r="J45" s="384"/>
      <c r="K45" s="384"/>
    </row>
    <row r="46" spans="1:12" ht="21.75" customHeight="1">
      <c r="A46" s="49" t="s">
        <v>346</v>
      </c>
      <c r="B46" s="57" t="s">
        <v>145</v>
      </c>
      <c r="C46" s="50"/>
      <c r="D46" s="385">
        <f aca="true" t="shared" si="11" ref="D46:K46">+D30+D32+D33+D35+D40+D42</f>
        <v>43924005</v>
      </c>
      <c r="E46" s="385">
        <f t="shared" si="11"/>
        <v>0</v>
      </c>
      <c r="F46" s="385">
        <f t="shared" si="11"/>
        <v>0</v>
      </c>
      <c r="G46" s="385">
        <f t="shared" si="11"/>
        <v>1752000</v>
      </c>
      <c r="H46" s="385">
        <f t="shared" si="11"/>
        <v>0</v>
      </c>
      <c r="I46" s="385">
        <f t="shared" si="11"/>
        <v>144355</v>
      </c>
      <c r="J46" s="385">
        <f t="shared" si="11"/>
        <v>0</v>
      </c>
      <c r="K46" s="385">
        <f t="shared" si="11"/>
        <v>45820360</v>
      </c>
      <c r="L46" s="165">
        <f>K42+K35+K33+K32+K30</f>
        <v>45676005</v>
      </c>
    </row>
    <row r="47" spans="1:12" ht="21.75" customHeight="1">
      <c r="A47" s="49" t="s">
        <v>347</v>
      </c>
      <c r="B47" s="57" t="s">
        <v>146</v>
      </c>
      <c r="C47" s="50"/>
      <c r="D47" s="385">
        <f aca="true" t="shared" si="12" ref="D47:K47">+D31+D34+D36+D41+D428+D44+D43</f>
        <v>717500</v>
      </c>
      <c r="E47" s="385">
        <f t="shared" si="12"/>
        <v>0</v>
      </c>
      <c r="F47" s="385">
        <f t="shared" si="12"/>
        <v>0</v>
      </c>
      <c r="G47" s="385">
        <f t="shared" si="12"/>
        <v>0</v>
      </c>
      <c r="H47" s="385">
        <f t="shared" si="12"/>
        <v>0</v>
      </c>
      <c r="I47" s="385">
        <f t="shared" si="12"/>
        <v>0</v>
      </c>
      <c r="J47" s="385">
        <f t="shared" si="12"/>
        <v>0</v>
      </c>
      <c r="K47" s="385">
        <f t="shared" si="12"/>
        <v>717500</v>
      </c>
      <c r="L47" s="165">
        <f>K43+K36+K34+K31</f>
        <v>717500</v>
      </c>
    </row>
    <row r="48" spans="1:12" ht="21.75" customHeight="1">
      <c r="A48" s="49" t="s">
        <v>348</v>
      </c>
      <c r="B48" s="57" t="s">
        <v>399</v>
      </c>
      <c r="C48" s="50"/>
      <c r="D48" s="385">
        <f aca="true" t="shared" si="13" ref="D48:K48">+D46+D47</f>
        <v>44641505</v>
      </c>
      <c r="E48" s="385">
        <f t="shared" si="13"/>
        <v>0</v>
      </c>
      <c r="F48" s="385">
        <f t="shared" si="13"/>
        <v>0</v>
      </c>
      <c r="G48" s="385">
        <f t="shared" si="13"/>
        <v>1752000</v>
      </c>
      <c r="H48" s="385">
        <f t="shared" si="13"/>
        <v>0</v>
      </c>
      <c r="I48" s="385">
        <f t="shared" si="13"/>
        <v>144355</v>
      </c>
      <c r="J48" s="385">
        <f t="shared" si="13"/>
        <v>0</v>
      </c>
      <c r="K48" s="385">
        <f t="shared" si="13"/>
        <v>46537860</v>
      </c>
      <c r="L48" s="165">
        <f>SUM(L46:L47)</f>
        <v>46393505</v>
      </c>
    </row>
    <row r="49" spans="1:13" ht="21.75" customHeight="1">
      <c r="A49" s="49" t="s">
        <v>349</v>
      </c>
      <c r="B49" s="90" t="s">
        <v>551</v>
      </c>
      <c r="C49" s="391"/>
      <c r="D49" s="384"/>
      <c r="E49" s="384"/>
      <c r="F49" s="384"/>
      <c r="G49" s="384">
        <f>'12.sz.mell. Létszámtábla'!C41</f>
        <v>7</v>
      </c>
      <c r="H49" s="384"/>
      <c r="I49" s="384"/>
      <c r="J49" s="384"/>
      <c r="K49" s="384">
        <f>SUM(D49:I49)</f>
        <v>7</v>
      </c>
      <c r="M49" s="165">
        <f>K48-K29</f>
        <v>0</v>
      </c>
    </row>
    <row r="50" spans="1:13" ht="21.75" customHeight="1">
      <c r="A50" s="49" t="s">
        <v>350</v>
      </c>
      <c r="B50" s="90" t="s">
        <v>899</v>
      </c>
      <c r="C50" s="391"/>
      <c r="D50" s="470"/>
      <c r="E50" s="470"/>
      <c r="F50" s="470"/>
      <c r="G50" s="470"/>
      <c r="H50" s="470"/>
      <c r="I50" s="470"/>
      <c r="J50" s="470"/>
      <c r="K50" s="470">
        <f>SUM(D50:I50)</f>
        <v>0</v>
      </c>
      <c r="M50" s="165"/>
    </row>
  </sheetData>
  <sheetProtection/>
  <mergeCells count="15">
    <mergeCell ref="H2:K2"/>
    <mergeCell ref="D2:G2"/>
    <mergeCell ref="K3:K6"/>
    <mergeCell ref="H5:H6"/>
    <mergeCell ref="B4:C4"/>
    <mergeCell ref="B5:C5"/>
    <mergeCell ref="G5:G6"/>
    <mergeCell ref="I5:I6"/>
    <mergeCell ref="J5:J6"/>
    <mergeCell ref="A3:A6"/>
    <mergeCell ref="B3:C3"/>
    <mergeCell ref="A2:C2"/>
    <mergeCell ref="D5:D6"/>
    <mergeCell ref="E5:E6"/>
    <mergeCell ref="F5:F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200" verticalDpi="200" orientation="portrait" paperSize="9" scale="55" r:id="rId1"/>
  <headerFooter alignWithMargins="0">
    <oddHeader>&amp;C2019. évi költségvetés&amp;R&amp;A</oddHeader>
    <oddFooter>&amp;C&amp;P/&amp;N</oddFooter>
  </headerFooter>
  <colBreaks count="1" manualBreakCount="1">
    <brk id="7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50"/>
  <sheetViews>
    <sheetView view="pageBreakPreview" zoomScale="80" zoomScaleSheetLayoutView="80" workbookViewId="0" topLeftCell="A1">
      <pane xSplit="3" ySplit="7" topLeftCell="D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3" sqref="M3"/>
    </sheetView>
  </sheetViews>
  <sheetFormatPr defaultColWidth="9.00390625" defaultRowHeight="12.75"/>
  <cols>
    <col min="1" max="1" width="6.00390625" style="0" customWidth="1"/>
    <col min="2" max="2" width="65.375" style="0" customWidth="1"/>
    <col min="4" max="4" width="17.75390625" style="0" customWidth="1"/>
    <col min="5" max="5" width="18.00390625" style="0" customWidth="1"/>
    <col min="6" max="6" width="16.125" style="0" customWidth="1"/>
    <col min="7" max="8" width="17.375" style="0" customWidth="1"/>
    <col min="9" max="9" width="17.625" style="0" customWidth="1"/>
    <col min="10" max="10" width="17.00390625" style="0" bestFit="1" customWidth="1"/>
    <col min="11" max="11" width="9.875" style="0" bestFit="1" customWidth="1"/>
  </cols>
  <sheetData>
    <row r="1" spans="1:10" ht="15.75">
      <c r="A1" s="416"/>
      <c r="B1" s="416"/>
      <c r="C1" s="415"/>
      <c r="D1" s="414"/>
      <c r="E1" s="414"/>
      <c r="F1" s="379" t="s">
        <v>541</v>
      </c>
      <c r="G1" s="414"/>
      <c r="H1" s="414"/>
      <c r="I1" s="414"/>
      <c r="J1" s="379" t="s">
        <v>541</v>
      </c>
    </row>
    <row r="2" spans="1:10" ht="39.75" customHeight="1">
      <c r="A2" s="1228" t="s">
        <v>176</v>
      </c>
      <c r="B2" s="1229"/>
      <c r="C2" s="1230"/>
      <c r="D2" s="1231" t="s">
        <v>924</v>
      </c>
      <c r="E2" s="1232"/>
      <c r="F2" s="1232"/>
      <c r="G2" s="1231" t="s">
        <v>924</v>
      </c>
      <c r="H2" s="1232"/>
      <c r="I2" s="1232"/>
      <c r="J2" s="1232"/>
    </row>
    <row r="3" spans="1:10" ht="118.5" customHeight="1">
      <c r="A3" s="1233" t="s">
        <v>244</v>
      </c>
      <c r="B3" s="1224" t="s">
        <v>302</v>
      </c>
      <c r="C3" s="1224"/>
      <c r="D3" s="409" t="s">
        <v>594</v>
      </c>
      <c r="E3" s="116" t="s">
        <v>776</v>
      </c>
      <c r="F3" s="410" t="s">
        <v>774</v>
      </c>
      <c r="G3" s="116" t="s">
        <v>775</v>
      </c>
      <c r="H3" s="381" t="s">
        <v>236</v>
      </c>
      <c r="I3" s="410" t="s">
        <v>774</v>
      </c>
      <c r="J3" s="1234" t="s">
        <v>178</v>
      </c>
    </row>
    <row r="4" spans="1:10" ht="26.25" customHeight="1">
      <c r="A4" s="1233"/>
      <c r="B4" s="1224" t="s">
        <v>12</v>
      </c>
      <c r="C4" s="1224"/>
      <c r="D4" s="409" t="s">
        <v>280</v>
      </c>
      <c r="E4" s="409" t="s">
        <v>280</v>
      </c>
      <c r="F4" s="409" t="s">
        <v>280</v>
      </c>
      <c r="G4" s="116" t="s">
        <v>281</v>
      </c>
      <c r="H4" s="409" t="s">
        <v>280</v>
      </c>
      <c r="I4" s="409" t="s">
        <v>280</v>
      </c>
      <c r="J4" s="1235"/>
    </row>
    <row r="5" spans="1:10" ht="20.25" customHeight="1">
      <c r="A5" s="1233"/>
      <c r="B5" s="1188" t="s">
        <v>1308</v>
      </c>
      <c r="C5" s="1188"/>
      <c r="D5" s="1225" t="s">
        <v>489</v>
      </c>
      <c r="E5" s="1225" t="s">
        <v>773</v>
      </c>
      <c r="F5" s="1225" t="s">
        <v>772</v>
      </c>
      <c r="G5" s="1225" t="s">
        <v>771</v>
      </c>
      <c r="H5" s="1206" t="s">
        <v>794</v>
      </c>
      <c r="I5" s="1226" t="s">
        <v>223</v>
      </c>
      <c r="J5" s="1235"/>
    </row>
    <row r="6" spans="1:10" ht="59.25" customHeight="1">
      <c r="A6" s="1233"/>
      <c r="B6" s="412" t="s">
        <v>245</v>
      </c>
      <c r="C6" s="411" t="s">
        <v>303</v>
      </c>
      <c r="D6" s="1225"/>
      <c r="E6" s="1225"/>
      <c r="F6" s="1225"/>
      <c r="G6" s="1225"/>
      <c r="H6" s="1206"/>
      <c r="I6" s="1227"/>
      <c r="J6" s="1235"/>
    </row>
    <row r="7" spans="1:10" ht="15.75">
      <c r="A7" s="408" t="s">
        <v>246</v>
      </c>
      <c r="B7" s="407" t="s">
        <v>247</v>
      </c>
      <c r="C7" s="407" t="s">
        <v>248</v>
      </c>
      <c r="D7" s="423" t="s">
        <v>249</v>
      </c>
      <c r="E7" s="423" t="s">
        <v>250</v>
      </c>
      <c r="F7" s="423" t="s">
        <v>251</v>
      </c>
      <c r="G7" s="423" t="s">
        <v>252</v>
      </c>
      <c r="H7" s="423" t="s">
        <v>253</v>
      </c>
      <c r="I7" s="423" t="s">
        <v>254</v>
      </c>
      <c r="J7" s="423" t="s">
        <v>255</v>
      </c>
    </row>
    <row r="8" spans="1:12" s="521" customFormat="1" ht="21" customHeight="1">
      <c r="A8" s="584" t="s">
        <v>246</v>
      </c>
      <c r="B8" s="585" t="s">
        <v>405</v>
      </c>
      <c r="C8" s="586" t="s">
        <v>257</v>
      </c>
      <c r="D8" s="587"/>
      <c r="E8" s="587">
        <v>7195920</v>
      </c>
      <c r="F8" s="587">
        <f>30568861+2250000</f>
        <v>32818861</v>
      </c>
      <c r="G8" s="587"/>
      <c r="H8" s="587"/>
      <c r="I8" s="587"/>
      <c r="J8" s="587">
        <f>D8+E8+F8+G8+I8+H8</f>
        <v>40014781</v>
      </c>
      <c r="K8" s="521">
        <v>34495138</v>
      </c>
      <c r="L8" s="522">
        <f>+K8-J8</f>
        <v>-5519643</v>
      </c>
    </row>
    <row r="9" spans="1:12" s="521" customFormat="1" ht="21" customHeight="1">
      <c r="A9" s="584" t="s">
        <v>247</v>
      </c>
      <c r="B9" s="588" t="s">
        <v>258</v>
      </c>
      <c r="C9" s="586" t="s">
        <v>259</v>
      </c>
      <c r="D9" s="587"/>
      <c r="E9" s="587">
        <f>1425137+220000</f>
        <v>1645137</v>
      </c>
      <c r="F9" s="587">
        <f>6218443+438750</f>
        <v>6657193</v>
      </c>
      <c r="G9" s="587"/>
      <c r="H9" s="587"/>
      <c r="I9" s="587"/>
      <c r="J9" s="587">
        <f aca="true" t="shared" si="0" ref="J9:J50">D9+E9+F9+G9+I9+H9</f>
        <v>8302330</v>
      </c>
      <c r="K9" s="521">
        <v>7225191</v>
      </c>
      <c r="L9" s="522">
        <f>+K9-J9</f>
        <v>-1077139</v>
      </c>
    </row>
    <row r="10" spans="1:12" ht="21" customHeight="1">
      <c r="A10" s="584" t="s">
        <v>248</v>
      </c>
      <c r="B10" s="588" t="s">
        <v>406</v>
      </c>
      <c r="C10" s="586" t="s">
        <v>260</v>
      </c>
      <c r="D10" s="587">
        <v>79500</v>
      </c>
      <c r="E10" s="587">
        <f>22214000+2800000+79934</f>
        <v>25093934</v>
      </c>
      <c r="F10" s="587">
        <f>13450000+260</f>
        <v>13450260</v>
      </c>
      <c r="G10" s="587">
        <v>387350</v>
      </c>
      <c r="H10" s="587"/>
      <c r="I10" s="587"/>
      <c r="J10" s="587">
        <f t="shared" si="0"/>
        <v>39011044</v>
      </c>
      <c r="L10" s="430">
        <f>SUM(L8:L9)</f>
        <v>-6596782</v>
      </c>
    </row>
    <row r="11" spans="1:10" ht="21" customHeight="1">
      <c r="A11" s="396" t="s">
        <v>249</v>
      </c>
      <c r="B11" s="403" t="s">
        <v>407</v>
      </c>
      <c r="C11" s="398" t="s">
        <v>261</v>
      </c>
      <c r="D11" s="394"/>
      <c r="E11" s="394"/>
      <c r="F11" s="394"/>
      <c r="G11" s="394"/>
      <c r="H11" s="394"/>
      <c r="I11" s="394"/>
      <c r="J11" s="394">
        <f t="shared" si="0"/>
        <v>0</v>
      </c>
    </row>
    <row r="12" spans="1:10" ht="21" customHeight="1">
      <c r="A12" s="396" t="s">
        <v>250</v>
      </c>
      <c r="B12" s="403" t="s">
        <v>292</v>
      </c>
      <c r="C12" s="398" t="s">
        <v>262</v>
      </c>
      <c r="D12" s="394">
        <f aca="true" t="shared" si="1" ref="D12:I12">SUM(D13:D15)</f>
        <v>0</v>
      </c>
      <c r="E12" s="394">
        <f t="shared" si="1"/>
        <v>0</v>
      </c>
      <c r="F12" s="394">
        <f t="shared" si="1"/>
        <v>0</v>
      </c>
      <c r="G12" s="394">
        <f t="shared" si="1"/>
        <v>0</v>
      </c>
      <c r="H12" s="394">
        <f t="shared" si="1"/>
        <v>0</v>
      </c>
      <c r="I12" s="394">
        <f t="shared" si="1"/>
        <v>0</v>
      </c>
      <c r="J12" s="394">
        <f t="shared" si="0"/>
        <v>0</v>
      </c>
    </row>
    <row r="13" spans="1:10" ht="21" customHeight="1">
      <c r="A13" s="396" t="s">
        <v>251</v>
      </c>
      <c r="B13" s="405" t="s">
        <v>159</v>
      </c>
      <c r="C13" s="398"/>
      <c r="D13" s="394"/>
      <c r="E13" s="394"/>
      <c r="F13" s="394"/>
      <c r="G13" s="394"/>
      <c r="H13" s="394"/>
      <c r="I13" s="394"/>
      <c r="J13" s="394">
        <f t="shared" si="0"/>
        <v>0</v>
      </c>
    </row>
    <row r="14" spans="1:10" ht="21" customHeight="1">
      <c r="A14" s="396" t="s">
        <v>252</v>
      </c>
      <c r="B14" s="405" t="s">
        <v>148</v>
      </c>
      <c r="C14" s="400"/>
      <c r="D14" s="394"/>
      <c r="E14" s="394"/>
      <c r="F14" s="394"/>
      <c r="G14" s="394"/>
      <c r="H14" s="394"/>
      <c r="I14" s="394"/>
      <c r="J14" s="394">
        <f t="shared" si="0"/>
        <v>0</v>
      </c>
    </row>
    <row r="15" spans="1:10" ht="21" customHeight="1">
      <c r="A15" s="396" t="s">
        <v>253</v>
      </c>
      <c r="B15" s="175" t="s">
        <v>737</v>
      </c>
      <c r="C15" s="400"/>
      <c r="D15" s="394"/>
      <c r="E15" s="394"/>
      <c r="F15" s="394"/>
      <c r="G15" s="394"/>
      <c r="H15" s="394"/>
      <c r="I15" s="394"/>
      <c r="J15" s="394">
        <f t="shared" si="0"/>
        <v>0</v>
      </c>
    </row>
    <row r="16" spans="1:10" ht="21" customHeight="1">
      <c r="A16" s="396" t="s">
        <v>254</v>
      </c>
      <c r="B16" s="402" t="s">
        <v>299</v>
      </c>
      <c r="C16" s="398" t="s">
        <v>263</v>
      </c>
      <c r="D16" s="394"/>
      <c r="E16" s="394">
        <v>500000</v>
      </c>
      <c r="F16" s="394">
        <v>500000</v>
      </c>
      <c r="G16" s="394">
        <v>127000</v>
      </c>
      <c r="H16" s="394"/>
      <c r="I16" s="394"/>
      <c r="J16" s="394">
        <f t="shared" si="0"/>
        <v>1127000</v>
      </c>
    </row>
    <row r="17" spans="1:10" ht="21" customHeight="1">
      <c r="A17" s="396" t="s">
        <v>255</v>
      </c>
      <c r="B17" s="403" t="s">
        <v>408</v>
      </c>
      <c r="C17" s="398" t="s">
        <v>264</v>
      </c>
      <c r="D17" s="394"/>
      <c r="E17" s="394"/>
      <c r="F17" s="394"/>
      <c r="G17" s="394"/>
      <c r="H17" s="394"/>
      <c r="I17" s="394"/>
      <c r="J17" s="394">
        <f t="shared" si="0"/>
        <v>0</v>
      </c>
    </row>
    <row r="18" spans="1:10" ht="21" customHeight="1">
      <c r="A18" s="396" t="s">
        <v>256</v>
      </c>
      <c r="B18" s="403" t="s">
        <v>293</v>
      </c>
      <c r="C18" s="398" t="s">
        <v>265</v>
      </c>
      <c r="D18" s="394"/>
      <c r="E18" s="394"/>
      <c r="F18" s="394"/>
      <c r="G18" s="394"/>
      <c r="H18" s="394"/>
      <c r="I18" s="394"/>
      <c r="J18" s="394">
        <f t="shared" si="0"/>
        <v>0</v>
      </c>
    </row>
    <row r="19" spans="1:10" ht="21" customHeight="1">
      <c r="A19" s="396" t="s">
        <v>283</v>
      </c>
      <c r="B19" s="405" t="s">
        <v>158</v>
      </c>
      <c r="C19" s="398"/>
      <c r="D19" s="394"/>
      <c r="E19" s="394"/>
      <c r="F19" s="394"/>
      <c r="G19" s="394"/>
      <c r="H19" s="394"/>
      <c r="I19" s="394"/>
      <c r="J19" s="394">
        <f t="shared" si="0"/>
        <v>0</v>
      </c>
    </row>
    <row r="20" spans="1:10" ht="21" customHeight="1">
      <c r="A20" s="396" t="s">
        <v>284</v>
      </c>
      <c r="B20" s="402" t="s">
        <v>294</v>
      </c>
      <c r="C20" s="398" t="s">
        <v>266</v>
      </c>
      <c r="D20" s="394">
        <f aca="true" t="shared" si="2" ref="D20:I20">+D8+D9+D10+D11+D12+D16+D17+D18+D15</f>
        <v>79500</v>
      </c>
      <c r="E20" s="394">
        <f t="shared" si="2"/>
        <v>34434991</v>
      </c>
      <c r="F20" s="394">
        <f t="shared" si="2"/>
        <v>53426314</v>
      </c>
      <c r="G20" s="394">
        <f t="shared" si="2"/>
        <v>514350</v>
      </c>
      <c r="H20" s="394">
        <f t="shared" si="2"/>
        <v>0</v>
      </c>
      <c r="I20" s="394">
        <f t="shared" si="2"/>
        <v>0</v>
      </c>
      <c r="J20" s="394">
        <f t="shared" si="0"/>
        <v>88455155</v>
      </c>
    </row>
    <row r="21" spans="1:10" ht="21" customHeight="1">
      <c r="A21" s="396" t="s">
        <v>285</v>
      </c>
      <c r="B21" s="402" t="s">
        <v>279</v>
      </c>
      <c r="C21" s="398" t="s">
        <v>275</v>
      </c>
      <c r="D21" s="394">
        <f aca="true" t="shared" si="3" ref="D21:I21">SUM(D22:D25)</f>
        <v>0</v>
      </c>
      <c r="E21" s="394">
        <f t="shared" si="3"/>
        <v>0</v>
      </c>
      <c r="F21" s="394">
        <f t="shared" si="3"/>
        <v>0</v>
      </c>
      <c r="G21" s="394">
        <f t="shared" si="3"/>
        <v>0</v>
      </c>
      <c r="H21" s="394">
        <f t="shared" si="3"/>
        <v>0</v>
      </c>
      <c r="I21" s="394">
        <f t="shared" si="3"/>
        <v>0</v>
      </c>
      <c r="J21" s="394">
        <f t="shared" si="0"/>
        <v>0</v>
      </c>
    </row>
    <row r="22" spans="1:10" ht="21" customHeight="1">
      <c r="A22" s="396" t="s">
        <v>286</v>
      </c>
      <c r="B22" s="177" t="s">
        <v>232</v>
      </c>
      <c r="C22" s="400"/>
      <c r="D22" s="394"/>
      <c r="E22" s="394"/>
      <c r="F22" s="394"/>
      <c r="G22" s="394"/>
      <c r="H22" s="394"/>
      <c r="I22" s="394"/>
      <c r="J22" s="394">
        <f t="shared" si="0"/>
        <v>0</v>
      </c>
    </row>
    <row r="23" spans="1:10" ht="21" customHeight="1">
      <c r="A23" s="396" t="s">
        <v>287</v>
      </c>
      <c r="B23" s="401" t="s">
        <v>741</v>
      </c>
      <c r="C23" s="400"/>
      <c r="D23" s="394"/>
      <c r="E23" s="394"/>
      <c r="F23" s="394"/>
      <c r="G23" s="394"/>
      <c r="H23" s="394"/>
      <c r="I23" s="394"/>
      <c r="J23" s="394">
        <f t="shared" si="0"/>
        <v>0</v>
      </c>
    </row>
    <row r="24" spans="1:10" ht="21" customHeight="1">
      <c r="A24" s="396" t="s">
        <v>288</v>
      </c>
      <c r="B24" s="401" t="s">
        <v>742</v>
      </c>
      <c r="C24" s="400"/>
      <c r="D24" s="394"/>
      <c r="E24" s="394"/>
      <c r="F24" s="394"/>
      <c r="G24" s="394"/>
      <c r="H24" s="394"/>
      <c r="I24" s="394"/>
      <c r="J24" s="394">
        <f t="shared" si="0"/>
        <v>0</v>
      </c>
    </row>
    <row r="25" spans="1:10" ht="21" customHeight="1">
      <c r="A25" s="396" t="s">
        <v>289</v>
      </c>
      <c r="B25" s="401" t="s">
        <v>160</v>
      </c>
      <c r="C25" s="400"/>
      <c r="D25" s="394"/>
      <c r="E25" s="394"/>
      <c r="F25" s="394"/>
      <c r="G25" s="394"/>
      <c r="H25" s="394"/>
      <c r="I25" s="394"/>
      <c r="J25" s="394">
        <f t="shared" si="0"/>
        <v>0</v>
      </c>
    </row>
    <row r="26" spans="1:10" ht="21" customHeight="1">
      <c r="A26" s="396" t="s">
        <v>290</v>
      </c>
      <c r="B26" s="510" t="s">
        <v>1408</v>
      </c>
      <c r="C26" s="400"/>
      <c r="D26" s="394"/>
      <c r="E26" s="394"/>
      <c r="F26" s="394"/>
      <c r="G26" s="394"/>
      <c r="H26" s="394"/>
      <c r="I26" s="394"/>
      <c r="J26" s="394"/>
    </row>
    <row r="27" spans="1:10" ht="21" customHeight="1">
      <c r="A27" s="396" t="s">
        <v>291</v>
      </c>
      <c r="B27" s="399" t="s">
        <v>33</v>
      </c>
      <c r="C27" s="398"/>
      <c r="D27" s="397">
        <f aca="true" t="shared" si="4" ref="D27:I27">+D8+D9+D10+D11+D12+D22+D23</f>
        <v>79500</v>
      </c>
      <c r="E27" s="397">
        <f t="shared" si="4"/>
        <v>33934991</v>
      </c>
      <c r="F27" s="397">
        <f t="shared" si="4"/>
        <v>52926314</v>
      </c>
      <c r="G27" s="397">
        <f t="shared" si="4"/>
        <v>387350</v>
      </c>
      <c r="H27" s="397">
        <f t="shared" si="4"/>
        <v>0</v>
      </c>
      <c r="I27" s="397">
        <f t="shared" si="4"/>
        <v>0</v>
      </c>
      <c r="J27" s="397">
        <f t="shared" si="0"/>
        <v>87328155</v>
      </c>
    </row>
    <row r="28" spans="1:10" ht="21" customHeight="1">
      <c r="A28" s="396" t="s">
        <v>322</v>
      </c>
      <c r="B28" s="399" t="s">
        <v>34</v>
      </c>
      <c r="C28" s="398"/>
      <c r="D28" s="397">
        <f aca="true" t="shared" si="5" ref="D28:I28">+D16+D17+D18+D24+D25</f>
        <v>0</v>
      </c>
      <c r="E28" s="397">
        <f t="shared" si="5"/>
        <v>500000</v>
      </c>
      <c r="F28" s="397">
        <f t="shared" si="5"/>
        <v>500000</v>
      </c>
      <c r="G28" s="397">
        <f t="shared" si="5"/>
        <v>127000</v>
      </c>
      <c r="H28" s="397">
        <f t="shared" si="5"/>
        <v>0</v>
      </c>
      <c r="I28" s="397">
        <f t="shared" si="5"/>
        <v>0</v>
      </c>
      <c r="J28" s="397">
        <f t="shared" si="0"/>
        <v>1127000</v>
      </c>
    </row>
    <row r="29" spans="1:10" ht="21" customHeight="1">
      <c r="A29" s="396" t="s">
        <v>323</v>
      </c>
      <c r="B29" s="399" t="s">
        <v>398</v>
      </c>
      <c r="C29" s="398" t="s">
        <v>32</v>
      </c>
      <c r="D29" s="397">
        <f aca="true" t="shared" si="6" ref="D29:I29">SUM(D27:D28)</f>
        <v>79500</v>
      </c>
      <c r="E29" s="397">
        <f t="shared" si="6"/>
        <v>34434991</v>
      </c>
      <c r="F29" s="397">
        <f t="shared" si="6"/>
        <v>53426314</v>
      </c>
      <c r="G29" s="397">
        <f t="shared" si="6"/>
        <v>514350</v>
      </c>
      <c r="H29" s="397">
        <f t="shared" si="6"/>
        <v>0</v>
      </c>
      <c r="I29" s="397">
        <f t="shared" si="6"/>
        <v>0</v>
      </c>
      <c r="J29" s="397">
        <f t="shared" si="0"/>
        <v>88455155</v>
      </c>
    </row>
    <row r="30" spans="1:10" ht="21" customHeight="1">
      <c r="A30" s="396" t="s">
        <v>324</v>
      </c>
      <c r="B30" s="404" t="s">
        <v>54</v>
      </c>
      <c r="C30" s="402" t="s">
        <v>267</v>
      </c>
      <c r="D30" s="394"/>
      <c r="E30" s="394"/>
      <c r="F30" s="394"/>
      <c r="G30" s="394"/>
      <c r="H30" s="394"/>
      <c r="I30" s="394"/>
      <c r="J30" s="394">
        <f t="shared" si="0"/>
        <v>0</v>
      </c>
    </row>
    <row r="31" spans="1:10" ht="21" customHeight="1">
      <c r="A31" s="396" t="s">
        <v>325</v>
      </c>
      <c r="B31" s="404" t="s">
        <v>278</v>
      </c>
      <c r="C31" s="402" t="s">
        <v>268</v>
      </c>
      <c r="D31" s="394"/>
      <c r="E31" s="394"/>
      <c r="F31" s="394"/>
      <c r="G31" s="394"/>
      <c r="H31" s="394"/>
      <c r="I31" s="394"/>
      <c r="J31" s="394">
        <f t="shared" si="0"/>
        <v>0</v>
      </c>
    </row>
    <row r="32" spans="1:10" ht="21" customHeight="1">
      <c r="A32" s="396" t="s">
        <v>326</v>
      </c>
      <c r="B32" s="404" t="s">
        <v>277</v>
      </c>
      <c r="C32" s="402" t="s">
        <v>269</v>
      </c>
      <c r="D32" s="394"/>
      <c r="E32" s="394"/>
      <c r="F32" s="394"/>
      <c r="G32" s="394"/>
      <c r="H32" s="394"/>
      <c r="I32" s="394"/>
      <c r="J32" s="394">
        <f t="shared" si="0"/>
        <v>0</v>
      </c>
    </row>
    <row r="33" spans="1:10" ht="21" customHeight="1">
      <c r="A33" s="396" t="s">
        <v>327</v>
      </c>
      <c r="B33" s="403" t="s">
        <v>0</v>
      </c>
      <c r="C33" s="402" t="s">
        <v>270</v>
      </c>
      <c r="D33" s="394"/>
      <c r="E33" s="394">
        <v>1900000</v>
      </c>
      <c r="F33" s="394">
        <v>6000000</v>
      </c>
      <c r="G33" s="394"/>
      <c r="H33" s="394">
        <v>79500</v>
      </c>
      <c r="I33" s="394"/>
      <c r="J33" s="394">
        <f t="shared" si="0"/>
        <v>7979500</v>
      </c>
    </row>
    <row r="34" spans="1:10" ht="21" customHeight="1">
      <c r="A34" s="396" t="s">
        <v>328</v>
      </c>
      <c r="B34" s="404" t="s">
        <v>300</v>
      </c>
      <c r="C34" s="402" t="s">
        <v>271</v>
      </c>
      <c r="D34" s="394"/>
      <c r="E34" s="394"/>
      <c r="F34" s="394"/>
      <c r="G34" s="394"/>
      <c r="H34" s="394"/>
      <c r="I34" s="394"/>
      <c r="J34" s="394">
        <f t="shared" si="0"/>
        <v>0</v>
      </c>
    </row>
    <row r="35" spans="1:10" ht="21" customHeight="1">
      <c r="A35" s="396" t="s">
        <v>329</v>
      </c>
      <c r="B35" s="404" t="s">
        <v>295</v>
      </c>
      <c r="C35" s="402" t="s">
        <v>272</v>
      </c>
      <c r="D35" s="394"/>
      <c r="E35" s="394"/>
      <c r="F35" s="394"/>
      <c r="G35" s="394"/>
      <c r="H35" s="394"/>
      <c r="I35" s="394"/>
      <c r="J35" s="394">
        <f t="shared" si="0"/>
        <v>0</v>
      </c>
    </row>
    <row r="36" spans="1:10" ht="21" customHeight="1">
      <c r="A36" s="396" t="s">
        <v>330</v>
      </c>
      <c r="B36" s="404" t="s">
        <v>296</v>
      </c>
      <c r="C36" s="402" t="s">
        <v>273</v>
      </c>
      <c r="D36" s="394"/>
      <c r="E36" s="394"/>
      <c r="F36" s="394"/>
      <c r="G36" s="394"/>
      <c r="H36" s="394"/>
      <c r="I36" s="394"/>
      <c r="J36" s="394">
        <f t="shared" si="0"/>
        <v>0</v>
      </c>
    </row>
    <row r="37" spans="1:10" ht="21" customHeight="1">
      <c r="A37" s="396" t="s">
        <v>331</v>
      </c>
      <c r="B37" s="403" t="s">
        <v>297</v>
      </c>
      <c r="C37" s="402" t="s">
        <v>274</v>
      </c>
      <c r="D37" s="394">
        <f aca="true" t="shared" si="7" ref="D37:I37">+D30+D31+D32+D33+D34+D35+D36</f>
        <v>0</v>
      </c>
      <c r="E37" s="394">
        <f t="shared" si="7"/>
        <v>1900000</v>
      </c>
      <c r="F37" s="394">
        <f t="shared" si="7"/>
        <v>6000000</v>
      </c>
      <c r="G37" s="394">
        <f t="shared" si="7"/>
        <v>0</v>
      </c>
      <c r="H37" s="394">
        <f t="shared" si="7"/>
        <v>79500</v>
      </c>
      <c r="I37" s="394">
        <f t="shared" si="7"/>
        <v>0</v>
      </c>
      <c r="J37" s="394">
        <f t="shared" si="0"/>
        <v>7979500</v>
      </c>
    </row>
    <row r="38" spans="1:10" ht="21.75" customHeight="1">
      <c r="A38" s="396" t="s">
        <v>332</v>
      </c>
      <c r="B38" s="402" t="s">
        <v>298</v>
      </c>
      <c r="C38" s="398" t="s">
        <v>276</v>
      </c>
      <c r="D38" s="394">
        <f aca="true" t="shared" si="8" ref="D38:I38">SUM(D40:D44)</f>
        <v>80475655</v>
      </c>
      <c r="E38" s="394">
        <f t="shared" si="8"/>
        <v>0</v>
      </c>
      <c r="F38" s="394">
        <f t="shared" si="8"/>
        <v>0</v>
      </c>
      <c r="G38" s="394">
        <f t="shared" si="8"/>
        <v>0</v>
      </c>
      <c r="H38" s="394">
        <f t="shared" si="8"/>
        <v>0</v>
      </c>
      <c r="I38" s="394">
        <f t="shared" si="8"/>
        <v>0</v>
      </c>
      <c r="J38" s="394">
        <f t="shared" si="0"/>
        <v>80475655</v>
      </c>
    </row>
    <row r="39" spans="1:10" ht="21.75" customHeight="1">
      <c r="A39" s="396" t="s">
        <v>333</v>
      </c>
      <c r="B39" s="177" t="s">
        <v>770</v>
      </c>
      <c r="C39" s="398"/>
      <c r="D39" s="394"/>
      <c r="E39" s="394"/>
      <c r="F39" s="394"/>
      <c r="G39" s="394"/>
      <c r="H39" s="394"/>
      <c r="I39" s="394"/>
      <c r="J39" s="394">
        <f t="shared" si="0"/>
        <v>0</v>
      </c>
    </row>
    <row r="40" spans="1:10" ht="21.75" customHeight="1">
      <c r="A40" s="396" t="s">
        <v>334</v>
      </c>
      <c r="B40" s="401" t="s">
        <v>713</v>
      </c>
      <c r="C40" s="400"/>
      <c r="D40" s="394"/>
      <c r="E40" s="394"/>
      <c r="F40" s="394"/>
      <c r="G40" s="394"/>
      <c r="H40" s="394"/>
      <c r="I40" s="394"/>
      <c r="J40" s="394">
        <f t="shared" si="0"/>
        <v>0</v>
      </c>
    </row>
    <row r="41" spans="1:10" ht="21.75" customHeight="1">
      <c r="A41" s="396" t="s">
        <v>341</v>
      </c>
      <c r="B41" s="401" t="s">
        <v>714</v>
      </c>
      <c r="C41" s="400"/>
      <c r="D41" s="394"/>
      <c r="E41" s="394"/>
      <c r="F41" s="394"/>
      <c r="G41" s="394"/>
      <c r="H41" s="394"/>
      <c r="I41" s="394"/>
      <c r="J41" s="394">
        <f t="shared" si="0"/>
        <v>0</v>
      </c>
    </row>
    <row r="42" spans="1:10" ht="21.75" customHeight="1">
      <c r="A42" s="396" t="s">
        <v>342</v>
      </c>
      <c r="B42" s="401" t="s">
        <v>715</v>
      </c>
      <c r="C42" s="400"/>
      <c r="D42" s="394">
        <f>J27-J30-J32-J33-J35-J40</f>
        <v>79348655</v>
      </c>
      <c r="E42" s="394"/>
      <c r="F42" s="394"/>
      <c r="G42" s="394"/>
      <c r="H42" s="394"/>
      <c r="I42" s="394"/>
      <c r="J42" s="394">
        <f t="shared" si="0"/>
        <v>79348655</v>
      </c>
    </row>
    <row r="43" spans="1:10" ht="21.75" customHeight="1">
      <c r="A43" s="396" t="s">
        <v>343</v>
      </c>
      <c r="B43" s="401" t="s">
        <v>716</v>
      </c>
      <c r="C43" s="400"/>
      <c r="D43" s="394">
        <f>J28-J31-J34-J36-J41</f>
        <v>1127000</v>
      </c>
      <c r="E43" s="394"/>
      <c r="F43" s="394"/>
      <c r="G43" s="394"/>
      <c r="H43" s="394"/>
      <c r="I43" s="394"/>
      <c r="J43" s="394">
        <f t="shared" si="0"/>
        <v>1127000</v>
      </c>
    </row>
    <row r="44" spans="1:10" ht="21.75" customHeight="1">
      <c r="A44" s="396" t="s">
        <v>344</v>
      </c>
      <c r="B44" s="177" t="s">
        <v>769</v>
      </c>
      <c r="C44" s="400"/>
      <c r="D44" s="394"/>
      <c r="E44" s="394"/>
      <c r="F44" s="394"/>
      <c r="G44" s="394"/>
      <c r="H44" s="394"/>
      <c r="I44" s="394"/>
      <c r="J44" s="394">
        <f t="shared" si="0"/>
        <v>0</v>
      </c>
    </row>
    <row r="45" spans="1:10" ht="21.75" customHeight="1">
      <c r="A45" s="396" t="s">
        <v>345</v>
      </c>
      <c r="B45" s="510" t="s">
        <v>1409</v>
      </c>
      <c r="C45" s="400"/>
      <c r="D45" s="394"/>
      <c r="E45" s="394"/>
      <c r="F45" s="394"/>
      <c r="G45" s="394"/>
      <c r="H45" s="394"/>
      <c r="I45" s="394"/>
      <c r="J45" s="394"/>
    </row>
    <row r="46" spans="1:10" ht="21.75" customHeight="1">
      <c r="A46" s="396" t="s">
        <v>346</v>
      </c>
      <c r="B46" s="399" t="s">
        <v>145</v>
      </c>
      <c r="C46" s="398"/>
      <c r="D46" s="397">
        <f aca="true" t="shared" si="9" ref="D46:I46">+D30+D32+D33+D35+D40+D42</f>
        <v>79348655</v>
      </c>
      <c r="E46" s="397">
        <f t="shared" si="9"/>
        <v>1900000</v>
      </c>
      <c r="F46" s="397">
        <f t="shared" si="9"/>
        <v>6000000</v>
      </c>
      <c r="G46" s="397">
        <f t="shared" si="9"/>
        <v>0</v>
      </c>
      <c r="H46" s="397">
        <f t="shared" si="9"/>
        <v>79500</v>
      </c>
      <c r="I46" s="397">
        <f t="shared" si="9"/>
        <v>0</v>
      </c>
      <c r="J46" s="397">
        <f t="shared" si="0"/>
        <v>87328155</v>
      </c>
    </row>
    <row r="47" spans="1:10" ht="21.75" customHeight="1">
      <c r="A47" s="396" t="s">
        <v>347</v>
      </c>
      <c r="B47" s="399" t="s">
        <v>146</v>
      </c>
      <c r="C47" s="398"/>
      <c r="D47" s="397">
        <f aca="true" t="shared" si="10" ref="D47:I47">+D31+D34+D36+D41+D428+D44+D43</f>
        <v>1127000</v>
      </c>
      <c r="E47" s="397">
        <f t="shared" si="10"/>
        <v>0</v>
      </c>
      <c r="F47" s="397">
        <f t="shared" si="10"/>
        <v>0</v>
      </c>
      <c r="G47" s="397">
        <f t="shared" si="10"/>
        <v>0</v>
      </c>
      <c r="H47" s="397">
        <f t="shared" si="10"/>
        <v>0</v>
      </c>
      <c r="I47" s="397">
        <f t="shared" si="10"/>
        <v>0</v>
      </c>
      <c r="J47" s="397">
        <f t="shared" si="0"/>
        <v>1127000</v>
      </c>
    </row>
    <row r="48" spans="1:10" ht="21.75" customHeight="1">
      <c r="A48" s="396" t="s">
        <v>348</v>
      </c>
      <c r="B48" s="399" t="s">
        <v>399</v>
      </c>
      <c r="C48" s="398"/>
      <c r="D48" s="397">
        <f aca="true" t="shared" si="11" ref="D48:I48">+D46+D47</f>
        <v>80475655</v>
      </c>
      <c r="E48" s="397">
        <f t="shared" si="11"/>
        <v>1900000</v>
      </c>
      <c r="F48" s="397">
        <f t="shared" si="11"/>
        <v>6000000</v>
      </c>
      <c r="G48" s="397">
        <f t="shared" si="11"/>
        <v>0</v>
      </c>
      <c r="H48" s="397">
        <f t="shared" si="11"/>
        <v>79500</v>
      </c>
      <c r="I48" s="397">
        <f t="shared" si="11"/>
        <v>0</v>
      </c>
      <c r="J48" s="397">
        <f t="shared" si="0"/>
        <v>88455155</v>
      </c>
    </row>
    <row r="49" spans="1:10" ht="21.75" customHeight="1">
      <c r="A49" s="396" t="s">
        <v>349</v>
      </c>
      <c r="B49" s="90" t="s">
        <v>551</v>
      </c>
      <c r="C49" s="395"/>
      <c r="D49" s="394"/>
      <c r="E49" s="394">
        <f>'12.sz.mell. Létszámtábla'!C43</f>
        <v>1</v>
      </c>
      <c r="F49" s="394">
        <f>'12.sz.mell. Létszámtábla'!C44</f>
        <v>9</v>
      </c>
      <c r="G49" s="394">
        <v>0</v>
      </c>
      <c r="H49" s="394"/>
      <c r="I49" s="394">
        <v>0</v>
      </c>
      <c r="J49" s="394">
        <f t="shared" si="0"/>
        <v>10</v>
      </c>
    </row>
    <row r="50" spans="1:10" ht="21.75" customHeight="1">
      <c r="A50" s="396" t="s">
        <v>350</v>
      </c>
      <c r="B50" s="90" t="s">
        <v>899</v>
      </c>
      <c r="C50" s="395"/>
      <c r="D50" s="394"/>
      <c r="E50" s="394"/>
      <c r="F50" s="394"/>
      <c r="G50" s="394"/>
      <c r="H50" s="394"/>
      <c r="I50" s="394"/>
      <c r="J50" s="394">
        <f t="shared" si="0"/>
        <v>0</v>
      </c>
    </row>
  </sheetData>
  <sheetProtection/>
  <mergeCells count="14">
    <mergeCell ref="A2:C2"/>
    <mergeCell ref="D2:F2"/>
    <mergeCell ref="G2:J2"/>
    <mergeCell ref="A3:A6"/>
    <mergeCell ref="B3:C3"/>
    <mergeCell ref="J3:J6"/>
    <mergeCell ref="B4:C4"/>
    <mergeCell ref="H5:H6"/>
    <mergeCell ref="B5:C5"/>
    <mergeCell ref="E5:E6"/>
    <mergeCell ref="I5:I6"/>
    <mergeCell ref="D5:D6"/>
    <mergeCell ref="G5:G6"/>
    <mergeCell ref="F5:F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55" r:id="rId1"/>
  <headerFooter>
    <oddHeader>&amp;C2019. évi költségvetés 
&amp;R&amp;A</oddHeader>
    <oddFooter>&amp;C&amp;P/&amp;N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paskoneeva</dc:creator>
  <cp:keywords/>
  <dc:description/>
  <cp:lastModifiedBy>Gersetenbrein Erika</cp:lastModifiedBy>
  <cp:lastPrinted>2019-02-26T07:11:29Z</cp:lastPrinted>
  <dcterms:created xsi:type="dcterms:W3CDTF">2014-01-08T13:04:31Z</dcterms:created>
  <dcterms:modified xsi:type="dcterms:W3CDTF">2019-02-26T07:14:17Z</dcterms:modified>
  <cp:category/>
  <cp:version/>
  <cp:contentType/>
  <cp:contentStatus/>
</cp:coreProperties>
</file>