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hivatal\Pénzügy\2016\2016. zárszámadás\Beszámoló végleges\"/>
    </mc:Choice>
  </mc:AlternateContent>
  <bookViews>
    <workbookView xWindow="0" yWindow="30" windowWidth="21840" windowHeight="9000" activeTab="4"/>
  </bookViews>
  <sheets>
    <sheet name="II. előlap" sheetId="23" r:id="rId1"/>
    <sheet name="13.a.sz.m.Maradvány - int" sheetId="32" r:id="rId2"/>
    <sheet name="13.b.sz.m.Maradványkim.-Önk" sheetId="33" r:id="rId3"/>
    <sheet name="13.c.sz.m.Kötött maradvány" sheetId="34" r:id="rId4"/>
    <sheet name="13.d.sz.m.Szabad maradvány" sheetId="49" r:id="rId5"/>
    <sheet name=" 1.sz.tájék.Részesedések " sheetId="6" r:id="rId6"/>
    <sheet name="2.sz tájék Vagyonkimutatás" sheetId="37" r:id="rId7"/>
    <sheet name="3.sz.tájék. Többéves" sheetId="31" r:id="rId8"/>
    <sheet name="4.sz.tájék. Adósságszolgálat" sheetId="9" r:id="rId9"/>
    <sheet name="5.sz.tájék.pénzeszköz vált." sheetId="18" r:id="rId10"/>
    <sheet name="6. sz tájék. Mérleg" sheetId="38" r:id="rId11"/>
    <sheet name=" 7. sz tájék. Eredménykimutatás" sheetId="39" r:id="rId12"/>
    <sheet name="8.sz.tájék. Mérlegszerű" sheetId="20" r:id="rId13"/>
    <sheet name="9.sz.tájék. Hitelképesség" sheetId="21" r:id="rId14"/>
    <sheet name="10.sz.tájék.tábla Közvetett tám" sheetId="40" r:id="rId15"/>
    <sheet name="1.függ. Napsugár energ. fennt." sheetId="41" r:id="rId16"/>
    <sheet name="2. függ.Mese fennt." sheetId="42" r:id="rId17"/>
    <sheet name="3.függ.5 utca fennt." sheetId="43" r:id="rId18"/>
    <sheet name="4.függ.18 utca fennt" sheetId="44" r:id="rId19"/>
    <sheet name="5.függ.Városközpont fennt." sheetId="45" r:id="rId20"/>
    <sheet name="6.függ. Hétszín.energ." sheetId="46" r:id="rId21"/>
    <sheet name="7.függ.Kőrösi energ.fenntart" sheetId="47" r:id="rId22"/>
    <sheet name="8.függ.Szivárvány fennt." sheetId="48" r:id="rId23"/>
  </sheets>
  <externalReferences>
    <externalReference r:id="rId24"/>
    <externalReference r:id="rId25"/>
    <externalReference r:id="rId26"/>
  </externalReferences>
  <definedNames>
    <definedName name="csak">#REF!</definedName>
    <definedName name="felev" localSheetId="5">#REF!</definedName>
    <definedName name="felev" localSheetId="15">#REF!</definedName>
    <definedName name="felev" localSheetId="1">#REF!</definedName>
    <definedName name="felev" localSheetId="2">#REF!</definedName>
    <definedName name="felev" localSheetId="3">#REF!</definedName>
    <definedName name="felev" localSheetId="4">#REF!</definedName>
    <definedName name="felev" localSheetId="16">#REF!</definedName>
    <definedName name="felev" localSheetId="6">#REF!</definedName>
    <definedName name="felev" localSheetId="18">#REF!</definedName>
    <definedName name="felev" localSheetId="19">#REF!</definedName>
    <definedName name="felev" localSheetId="9">#REF!</definedName>
    <definedName name="felev" localSheetId="20">#REF!</definedName>
    <definedName name="felev" localSheetId="21">#REF!</definedName>
    <definedName name="felev" localSheetId="12">#REF!</definedName>
    <definedName name="felev" localSheetId="13">#REF!</definedName>
    <definedName name="felev">#REF!</definedName>
    <definedName name="funkcio" localSheetId="5">#REF!</definedName>
    <definedName name="funkcio" localSheetId="15">#REF!</definedName>
    <definedName name="funkcio" localSheetId="1">#REF!</definedName>
    <definedName name="funkcio" localSheetId="2">#REF!</definedName>
    <definedName name="funkcio" localSheetId="3">#REF!</definedName>
    <definedName name="funkcio" localSheetId="4">#REF!</definedName>
    <definedName name="funkcio" localSheetId="16">#REF!</definedName>
    <definedName name="funkcio" localSheetId="6">#REF!</definedName>
    <definedName name="funkcio" localSheetId="18">#REF!</definedName>
    <definedName name="funkcio" localSheetId="19">#REF!</definedName>
    <definedName name="funkcio" localSheetId="9">#REF!</definedName>
    <definedName name="funkcio" localSheetId="20">#REF!</definedName>
    <definedName name="funkcio" localSheetId="21">#REF!</definedName>
    <definedName name="funkcio" localSheetId="12">#REF!</definedName>
    <definedName name="funkcio" localSheetId="13">#REF!</definedName>
    <definedName name="funkcio">#REF!</definedName>
    <definedName name="Igenyles_elszamolas_tip" localSheetId="5">#REF!</definedName>
    <definedName name="Igenyles_elszamolas_tip" localSheetId="15">#REF!</definedName>
    <definedName name="Igenyles_elszamolas_tip" localSheetId="1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16">#REF!</definedName>
    <definedName name="Igenyles_elszamolas_tip" localSheetId="6">#REF!</definedName>
    <definedName name="Igenyles_elszamolas_tip" localSheetId="18">#REF!</definedName>
    <definedName name="Igenyles_elszamolas_tip" localSheetId="19">#REF!</definedName>
    <definedName name="Igenyles_elszamolas_tip" localSheetId="9">#REF!</definedName>
    <definedName name="Igenyles_elszamolas_tip" localSheetId="20">#REF!</definedName>
    <definedName name="Igenyles_elszamolas_tip" localSheetId="21">#REF!</definedName>
    <definedName name="Igenyles_elszamolas_tip" localSheetId="12">#REF!</definedName>
    <definedName name="Igenyles_elszamolas_tip" localSheetId="13">#REF!</definedName>
    <definedName name="Igenyles_elszamolas_tip">#REF!</definedName>
    <definedName name="iiiiii" localSheetId="14">#REF!</definedName>
    <definedName name="iiiiii" localSheetId="6">#REF!</definedName>
    <definedName name="iiiiii">#REF!</definedName>
    <definedName name="jjj" localSheetId="14">#REF!</definedName>
    <definedName name="jjj" localSheetId="6">#REF!</definedName>
    <definedName name="jjj">#REF!</definedName>
    <definedName name="kkkk" localSheetId="14">#REF!</definedName>
    <definedName name="kkkk" localSheetId="6">#REF!</definedName>
    <definedName name="kkkk">#REF!</definedName>
    <definedName name="koltseg_k" localSheetId="5">#REF!</definedName>
    <definedName name="koltseg_k" localSheetId="15">#REF!</definedName>
    <definedName name="koltseg_k" localSheetId="6">#REF!</definedName>
    <definedName name="koltseg_k" localSheetId="9">#REF!</definedName>
    <definedName name="koltseg_k" localSheetId="20">#REF!</definedName>
    <definedName name="koltseg_k" localSheetId="21">#REF!</definedName>
    <definedName name="koltseg_k" localSheetId="12">#REF!</definedName>
    <definedName name="koltseg_k" localSheetId="13">#REF!</definedName>
    <definedName name="koltseg_k">#REF!</definedName>
    <definedName name="Koltseg_kat" localSheetId="5">#REF!</definedName>
    <definedName name="Koltseg_kat" localSheetId="15">#REF!</definedName>
    <definedName name="Koltseg_kat" localSheetId="6">#REF!</definedName>
    <definedName name="Koltseg_kat" localSheetId="9">#REF!</definedName>
    <definedName name="Koltseg_kat" localSheetId="20">#REF!</definedName>
    <definedName name="Koltseg_kat" localSheetId="21">#REF!</definedName>
    <definedName name="Koltseg_kat" localSheetId="12">#REF!</definedName>
    <definedName name="Koltseg_kat" localSheetId="13">#REF!</definedName>
    <definedName name="Koltseg_kat">#REF!</definedName>
    <definedName name="_xlnm.Print_Titles" localSheetId="11">' 7. sz tájék. Eredménykimutatás'!$2:$3</definedName>
    <definedName name="_xlnm.Print_Titles" localSheetId="6">'2.sz tájék Vagyonkimutatás'!$1:$2</definedName>
    <definedName name="_xlnm.Print_Titles" localSheetId="7">'3.sz.tájék. Többéves'!$1:$1</definedName>
    <definedName name="_xlnm.Print_Titles" localSheetId="19">'5.függ.Városközpont fennt.'!$9:$12</definedName>
    <definedName name="_xlnm.Print_Titles" localSheetId="10">'6. sz tájék. Mérleg'!$2:$3</definedName>
    <definedName name="_xlnm.Print_Titles" localSheetId="13">'9.sz.tájék. Hitelképesség'!$A:$B</definedName>
    <definedName name="_xlnm.Print_Area" localSheetId="5">' 1.sz.tájék.Részesedések '!$A$1:$J$18</definedName>
    <definedName name="_xlnm.Print_Area" localSheetId="15">'1.függ. Napsugár energ. fennt.'!$A$1:$G$30</definedName>
    <definedName name="_xlnm.Print_Area" localSheetId="14">'10.sz.tájék.tábla Közvetett tám'!$A$1:$L$30</definedName>
    <definedName name="_xlnm.Print_Area" localSheetId="2">'13.b.sz.m.Maradványkim.-Önk'!$A$1:$F$33</definedName>
    <definedName name="_xlnm.Print_Area" localSheetId="3">'13.c.sz.m.Kötött maradvány'!$A$1:$D$237</definedName>
    <definedName name="_xlnm.Print_Area" localSheetId="4">'13.d.sz.m.Szabad maradvány'!$A$1:$E$90</definedName>
    <definedName name="_xlnm.Print_Area" localSheetId="6">'2.sz tájék Vagyonkimutatás'!$A$1:$R$86</definedName>
    <definedName name="_xlnm.Print_Area" localSheetId="17">'3.függ.5 utca fennt.'!$A$1:$G$12</definedName>
    <definedName name="_xlnm.Print_Area" localSheetId="7">'3.sz.tájék. Többéves'!$A$1:$O$50</definedName>
    <definedName name="_xlnm.Print_Area" localSheetId="18">'4.függ.18 utca fennt'!$A$1:$G$14</definedName>
    <definedName name="_xlnm.Print_Area" localSheetId="8">'4.sz.tájék. Adósságszolgálat'!$A$1:$E$48</definedName>
    <definedName name="_xlnm.Print_Area" localSheetId="9">'5.sz.tájék.pénzeszköz vált.'!$A$1:$J$16</definedName>
    <definedName name="_xlnm.Print_Area" localSheetId="12">'8.sz.tájék. Mérlegszerű'!$A$1:$L$38</definedName>
    <definedName name="_xlnm.Print_Area" localSheetId="13">'9.sz.tájék. Hitelképesség'!$A$1:$F$47</definedName>
    <definedName name="_xlnm.Print_Area" localSheetId="0">'II. előlap'!$A$1:$E$26</definedName>
    <definedName name="oooooooooooo" localSheetId="15">#REF!</definedName>
    <definedName name="oooooooooooo" localSheetId="14">#REF!</definedName>
    <definedName name="oooooooooooo" localSheetId="1">#REF!</definedName>
    <definedName name="oooooooooooo" localSheetId="2">#REF!</definedName>
    <definedName name="oooooooooooo" localSheetId="3">#REF!</definedName>
    <definedName name="oooooooooooo" localSheetId="4">#REF!</definedName>
    <definedName name="oooooooooooo" localSheetId="16">#REF!</definedName>
    <definedName name="oooooooooooo" localSheetId="6">#REF!</definedName>
    <definedName name="oooooooooooo" localSheetId="17">#REF!</definedName>
    <definedName name="oooooooooooo" localSheetId="18">#REF!</definedName>
    <definedName name="oooooooooooo" localSheetId="19">#REF!</definedName>
    <definedName name="oooooooooooo" localSheetId="20">#REF!</definedName>
    <definedName name="oooooooooooo" localSheetId="21">#REF!</definedName>
    <definedName name="oooooooooooo" localSheetId="22">#REF!</definedName>
    <definedName name="oooooooooooo">#REF!</definedName>
    <definedName name="pppppp" localSheetId="15">#REF!</definedName>
    <definedName name="pppppp" localSheetId="14">#REF!</definedName>
    <definedName name="pppppp" localSheetId="1">#REF!</definedName>
    <definedName name="pppppp" localSheetId="2">#REF!</definedName>
    <definedName name="pppppp" localSheetId="3">#REF!</definedName>
    <definedName name="pppppp" localSheetId="4">#REF!</definedName>
    <definedName name="pppppp" localSheetId="16">#REF!</definedName>
    <definedName name="pppppp" localSheetId="6">#REF!</definedName>
    <definedName name="pppppp" localSheetId="17">#REF!</definedName>
    <definedName name="pppppp" localSheetId="18">#REF!</definedName>
    <definedName name="pppppp" localSheetId="19">#REF!</definedName>
    <definedName name="pppppp" localSheetId="20">#REF!</definedName>
    <definedName name="pppppp" localSheetId="21">#REF!</definedName>
    <definedName name="pppppp" localSheetId="22">#REF!</definedName>
    <definedName name="pppppp">#REF!</definedName>
    <definedName name="qqqqq" localSheetId="15">#REF!</definedName>
    <definedName name="qqqqq" localSheetId="14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 localSheetId="16">#REF!</definedName>
    <definedName name="qqqqq" localSheetId="6">#REF!</definedName>
    <definedName name="qqqqq" localSheetId="17">#REF!</definedName>
    <definedName name="qqqqq" localSheetId="18">#REF!</definedName>
    <definedName name="qqqqq" localSheetId="19">#REF!</definedName>
    <definedName name="qqqqq" localSheetId="20">#REF!</definedName>
    <definedName name="qqqqq" localSheetId="21">#REF!</definedName>
    <definedName name="qqqqq" localSheetId="22">#REF!</definedName>
    <definedName name="qqqqq">#REF!</definedName>
    <definedName name="rrrrrrrrrrr" localSheetId="14">#REF!</definedName>
    <definedName name="rrrrrrrrrrr" localSheetId="6">#REF!</definedName>
    <definedName name="rrrrrrrrrrr">#REF!</definedName>
    <definedName name="Szamviteli_kat" localSheetId="5">#REF!</definedName>
    <definedName name="Szamviteli_kat" localSheetId="15">#REF!</definedName>
    <definedName name="Szamviteli_kat" localSheetId="14">#REF!</definedName>
    <definedName name="Szamviteli_kat" localSheetId="3">#REF!</definedName>
    <definedName name="Szamviteli_kat" localSheetId="6">#REF!</definedName>
    <definedName name="Szamviteli_kat" localSheetId="17">#REF!</definedName>
    <definedName name="Szamviteli_kat" localSheetId="7">#REF!</definedName>
    <definedName name="Szamviteli_kat" localSheetId="18">#REF!</definedName>
    <definedName name="Szamviteli_kat" localSheetId="19">#REF!</definedName>
    <definedName name="Szamviteli_kat" localSheetId="9">#REF!</definedName>
    <definedName name="Szamviteli_kat" localSheetId="20">#REF!</definedName>
    <definedName name="Szamviteli_kat" localSheetId="21">#REF!</definedName>
    <definedName name="Szamviteli_kat" localSheetId="12">#REF!</definedName>
    <definedName name="Szamviteli_kat" localSheetId="13">#REF!</definedName>
    <definedName name="Szamviteli_kat">#REF!</definedName>
    <definedName name="téves">#REF!</definedName>
    <definedName name="vagyonkimut">#REF!</definedName>
  </definedNames>
  <calcPr calcId="162913"/>
</workbook>
</file>

<file path=xl/calcChain.xml><?xml version="1.0" encoding="utf-8"?>
<calcChain xmlns="http://schemas.openxmlformats.org/spreadsheetml/2006/main">
  <c r="F79" i="49" l="1"/>
  <c r="F14" i="49" l="1"/>
  <c r="C29" i="21" l="1"/>
  <c r="E18" i="21"/>
  <c r="G66" i="21"/>
  <c r="G72" i="21" s="1"/>
  <c r="D66" i="21"/>
  <c r="D61" i="21"/>
  <c r="G59" i="21"/>
  <c r="D59" i="21"/>
  <c r="D55" i="21"/>
  <c r="G52" i="21"/>
  <c r="G55" i="21" s="1"/>
  <c r="D52" i="21"/>
  <c r="D72" i="21" l="1"/>
  <c r="D77" i="49"/>
  <c r="J16" i="20" l="1"/>
  <c r="D18" i="20" l="1"/>
  <c r="E18" i="20"/>
  <c r="D16" i="20"/>
  <c r="E31" i="33" l="1"/>
  <c r="F83" i="49"/>
  <c r="D76" i="49"/>
  <c r="L70" i="49"/>
  <c r="D60" i="49"/>
  <c r="D54" i="49"/>
  <c r="D50" i="49"/>
  <c r="D22" i="49"/>
  <c r="D31" i="33"/>
  <c r="D29" i="33"/>
  <c r="D83" i="49" l="1"/>
  <c r="L83" i="49" s="1"/>
  <c r="F82" i="49"/>
  <c r="E30" i="33" s="1"/>
  <c r="E36" i="33" s="1"/>
  <c r="F84" i="49" l="1"/>
  <c r="G14" i="47" l="1"/>
  <c r="C13" i="47"/>
  <c r="D13" i="47" s="1"/>
  <c r="E13" i="47" s="1"/>
  <c r="F13" i="47" s="1"/>
  <c r="C12" i="47"/>
  <c r="D12" i="47" s="1"/>
  <c r="E12" i="47" s="1"/>
  <c r="F12" i="47" s="1"/>
  <c r="G15" i="46"/>
  <c r="G14" i="46"/>
  <c r="G13" i="46"/>
  <c r="C10" i="41"/>
  <c r="D10" i="41" s="1"/>
  <c r="E10" i="41" s="1"/>
  <c r="F10" i="41" s="1"/>
  <c r="G12" i="47" l="1"/>
  <c r="G13" i="47"/>
  <c r="F5" i="40"/>
  <c r="F6" i="40"/>
  <c r="I6" i="40"/>
  <c r="F7" i="40"/>
  <c r="I7" i="40"/>
  <c r="I8" i="40" s="1"/>
  <c r="E8" i="40"/>
  <c r="H8" i="40"/>
  <c r="J8" i="40"/>
  <c r="K8" i="40"/>
  <c r="L8" i="40"/>
  <c r="F15" i="40"/>
  <c r="I15" i="40"/>
  <c r="F16" i="40"/>
  <c r="I16" i="40"/>
  <c r="F17" i="40"/>
  <c r="I17" i="40"/>
  <c r="F18" i="40"/>
  <c r="I18" i="40"/>
  <c r="F19" i="40"/>
  <c r="I19" i="40"/>
  <c r="F20" i="40"/>
  <c r="I20" i="40"/>
  <c r="F21" i="40"/>
  <c r="I21" i="40"/>
  <c r="E22" i="40"/>
  <c r="H22" i="40"/>
  <c r="J22" i="40"/>
  <c r="K22" i="40"/>
  <c r="L22" i="40"/>
  <c r="F26" i="40"/>
  <c r="F28" i="40" s="1"/>
  <c r="G26" i="40"/>
  <c r="I26" i="40"/>
  <c r="E28" i="40"/>
  <c r="H28" i="40"/>
  <c r="I28" i="40"/>
  <c r="J28" i="40"/>
  <c r="K28" i="40"/>
  <c r="L28" i="40"/>
  <c r="F22" i="40" l="1"/>
  <c r="F8" i="40"/>
  <c r="I22" i="40"/>
  <c r="G77" i="37"/>
  <c r="G84" i="37" s="1"/>
  <c r="H77" i="37"/>
  <c r="I77" i="37"/>
  <c r="J77" i="37"/>
  <c r="K77" i="37"/>
  <c r="L77" i="37"/>
  <c r="M77" i="37"/>
  <c r="N77" i="37"/>
  <c r="O77" i="37"/>
  <c r="P77" i="37"/>
  <c r="Q77" i="37"/>
  <c r="R77" i="37"/>
  <c r="E77" i="37"/>
  <c r="F77" i="37"/>
  <c r="D77" i="37"/>
  <c r="E70" i="37"/>
  <c r="F70" i="37"/>
  <c r="F84" i="37" s="1"/>
  <c r="G70" i="37"/>
  <c r="H70" i="37"/>
  <c r="I70" i="37"/>
  <c r="I84" i="37" s="1"/>
  <c r="J70" i="37"/>
  <c r="J84" i="37" s="1"/>
  <c r="K70" i="37"/>
  <c r="L70" i="37"/>
  <c r="L84" i="37" s="1"/>
  <c r="M70" i="37"/>
  <c r="M84" i="37" s="1"/>
  <c r="N70" i="37"/>
  <c r="O70" i="37"/>
  <c r="P70" i="37"/>
  <c r="Q70" i="37"/>
  <c r="Q84" i="37" s="1"/>
  <c r="R70" i="37"/>
  <c r="D70" i="37"/>
  <c r="D84" i="37" s="1"/>
  <c r="O84" i="37" l="1"/>
  <c r="E84" i="37"/>
  <c r="K84" i="37"/>
  <c r="R84" i="37"/>
  <c r="P84" i="37"/>
  <c r="N84" i="37"/>
  <c r="H84" i="37"/>
  <c r="T43" i="37"/>
  <c r="R63" i="37" l="1"/>
  <c r="Q63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D63" i="37"/>
  <c r="C63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D44" i="37"/>
  <c r="C44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C24" i="37"/>
  <c r="C23" i="37" s="1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Q17" i="37"/>
  <c r="R17" i="37" s="1"/>
  <c r="R13" i="37" s="1"/>
  <c r="O17" i="37"/>
  <c r="P17" i="37" s="1"/>
  <c r="P13" i="37" s="1"/>
  <c r="M17" i="37"/>
  <c r="N17" i="37" s="1"/>
  <c r="N13" i="37" s="1"/>
  <c r="K17" i="37"/>
  <c r="L17" i="37" s="1"/>
  <c r="L13" i="37" s="1"/>
  <c r="I17" i="37"/>
  <c r="J17" i="37" s="1"/>
  <c r="J13" i="37" s="1"/>
  <c r="G17" i="37"/>
  <c r="H17" i="37" s="1"/>
  <c r="H13" i="37" s="1"/>
  <c r="E17" i="37"/>
  <c r="F17" i="37" s="1"/>
  <c r="F13" i="37" s="1"/>
  <c r="C17" i="37"/>
  <c r="D17" i="37" s="1"/>
  <c r="D13" i="37" s="1"/>
  <c r="Q13" i="37"/>
  <c r="O13" i="37"/>
  <c r="K13" i="37"/>
  <c r="I13" i="37"/>
  <c r="C13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C8" i="37"/>
  <c r="C7" i="37" s="1"/>
  <c r="Q7" i="37"/>
  <c r="Q6" i="37"/>
  <c r="R6" i="37" s="1"/>
  <c r="R4" i="37" s="1"/>
  <c r="O6" i="37"/>
  <c r="P6" i="37" s="1"/>
  <c r="P4" i="37" s="1"/>
  <c r="K6" i="37"/>
  <c r="L6" i="37" s="1"/>
  <c r="L4" i="37" s="1"/>
  <c r="I6" i="37"/>
  <c r="J6" i="37" s="1"/>
  <c r="J4" i="37" s="1"/>
  <c r="G6" i="37"/>
  <c r="H6" i="37" s="1"/>
  <c r="H4" i="37" s="1"/>
  <c r="E6" i="37"/>
  <c r="F6" i="37" s="1"/>
  <c r="F4" i="37" s="1"/>
  <c r="C6" i="37"/>
  <c r="D6" i="37" s="1"/>
  <c r="D4" i="37" s="1"/>
  <c r="N4" i="37"/>
  <c r="M4" i="37"/>
  <c r="C4" i="37"/>
  <c r="E7" i="37" l="1"/>
  <c r="E13" i="37"/>
  <c r="I7" i="37"/>
  <c r="L7" i="37"/>
  <c r="C3" i="37"/>
  <c r="I4" i="37"/>
  <c r="D7" i="37"/>
  <c r="O4" i="37"/>
  <c r="G13" i="37"/>
  <c r="G7" i="37" s="1"/>
  <c r="M13" i="37"/>
  <c r="M7" i="37" s="1"/>
  <c r="M3" i="37" s="1"/>
  <c r="H7" i="37"/>
  <c r="H3" i="37" s="1"/>
  <c r="H69" i="37" s="1"/>
  <c r="H86" i="37" s="1"/>
  <c r="P7" i="37"/>
  <c r="P3" i="37" s="1"/>
  <c r="P69" i="37" s="1"/>
  <c r="P86" i="37" s="1"/>
  <c r="K7" i="37"/>
  <c r="L3" i="37"/>
  <c r="N7" i="37"/>
  <c r="N3" i="37" s="1"/>
  <c r="K4" i="37"/>
  <c r="Q4" i="37"/>
  <c r="Q3" i="37" s="1"/>
  <c r="Q69" i="37" s="1"/>
  <c r="J7" i="37"/>
  <c r="J3" i="37" s="1"/>
  <c r="M69" i="37"/>
  <c r="R7" i="37"/>
  <c r="R3" i="37" s="1"/>
  <c r="R69" i="37" s="1"/>
  <c r="R86" i="37" s="1"/>
  <c r="O7" i="37"/>
  <c r="E4" i="37"/>
  <c r="E3" i="37" s="1"/>
  <c r="E69" i="37" s="1"/>
  <c r="G4" i="37"/>
  <c r="F7" i="37"/>
  <c r="F3" i="37" s="1"/>
  <c r="F69" i="37" s="1"/>
  <c r="F86" i="37" s="1"/>
  <c r="D3" i="37"/>
  <c r="D69" i="37" s="1"/>
  <c r="D86" i="37" s="1"/>
  <c r="C69" i="37"/>
  <c r="L69" i="37"/>
  <c r="L86" i="37" s="1"/>
  <c r="J69" i="37"/>
  <c r="J86" i="37" s="1"/>
  <c r="N69" i="37"/>
  <c r="N86" i="37" s="1"/>
  <c r="I3" i="37" l="1"/>
  <c r="I69" i="37" s="1"/>
  <c r="O3" i="37"/>
  <c r="O69" i="37" s="1"/>
  <c r="G3" i="37"/>
  <c r="G69" i="37" s="1"/>
  <c r="K3" i="37"/>
  <c r="K69" i="37" s="1"/>
  <c r="J9" i="18"/>
  <c r="I9" i="18"/>
  <c r="I12" i="18" s="1"/>
  <c r="I13" i="18" s="1"/>
  <c r="H9" i="18"/>
  <c r="G9" i="18"/>
  <c r="F9" i="18"/>
  <c r="E9" i="18"/>
  <c r="D9" i="18"/>
  <c r="C6" i="18"/>
  <c r="C12" i="18" s="1"/>
  <c r="C13" i="18" s="1"/>
  <c r="D6" i="18"/>
  <c r="E6" i="18"/>
  <c r="E12" i="18" s="1"/>
  <c r="E13" i="18" s="1"/>
  <c r="F6" i="18"/>
  <c r="G6" i="18"/>
  <c r="H6" i="18"/>
  <c r="J6" i="18"/>
  <c r="H12" i="18" l="1"/>
  <c r="H13" i="18" s="1"/>
  <c r="J12" i="18"/>
  <c r="J13" i="18" s="1"/>
  <c r="G12" i="18"/>
  <c r="G13" i="18" s="1"/>
  <c r="D12" i="18"/>
  <c r="D13" i="18" s="1"/>
  <c r="F12" i="18"/>
  <c r="F13" i="18" s="1"/>
  <c r="E240" i="34"/>
  <c r="F240" i="34" s="1"/>
  <c r="E239" i="34"/>
  <c r="F239" i="34" s="1"/>
  <c r="E238" i="34"/>
  <c r="F238" i="34" s="1"/>
  <c r="C235" i="34"/>
  <c r="C231" i="34"/>
  <c r="N218" i="34"/>
  <c r="C217" i="34"/>
  <c r="N198" i="34"/>
  <c r="C197" i="34"/>
  <c r="C174" i="34"/>
  <c r="C181" i="34" s="1"/>
  <c r="C165" i="34"/>
  <c r="C148" i="34"/>
  <c r="E130" i="34"/>
  <c r="F129" i="34"/>
  <c r="E128" i="34"/>
  <c r="C117" i="34"/>
  <c r="C106" i="34"/>
  <c r="E105" i="34"/>
  <c r="E102" i="34"/>
  <c r="C95" i="34"/>
  <c r="G25" i="34" s="1"/>
  <c r="C92" i="34"/>
  <c r="F90" i="34"/>
  <c r="E30" i="34"/>
  <c r="G26" i="34"/>
  <c r="F10" i="34"/>
  <c r="F5" i="34"/>
  <c r="F31" i="33"/>
  <c r="D30" i="33"/>
  <c r="E25" i="33"/>
  <c r="F25" i="33" s="1"/>
  <c r="E24" i="33"/>
  <c r="D24" i="33"/>
  <c r="D23" i="33" s="1"/>
  <c r="F22" i="33"/>
  <c r="E21" i="33"/>
  <c r="E20" i="33" s="1"/>
  <c r="D20" i="33"/>
  <c r="E18" i="33"/>
  <c r="E17" i="33" s="1"/>
  <c r="D18" i="33"/>
  <c r="D17" i="33"/>
  <c r="D16" i="33"/>
  <c r="F16" i="33" s="1"/>
  <c r="D14" i="33"/>
  <c r="F14" i="33" s="1"/>
  <c r="E12" i="33"/>
  <c r="D11" i="33"/>
  <c r="F11" i="33" s="1"/>
  <c r="D10" i="33"/>
  <c r="F10" i="33" s="1"/>
  <c r="E9" i="33"/>
  <c r="D8" i="33"/>
  <c r="F8" i="33" s="1"/>
  <c r="D7" i="33"/>
  <c r="K21" i="32"/>
  <c r="I20" i="32"/>
  <c r="I19" i="32" s="1"/>
  <c r="K19" i="32" s="1"/>
  <c r="K18" i="32"/>
  <c r="K16" i="32"/>
  <c r="J15" i="32"/>
  <c r="I15" i="32"/>
  <c r="H15" i="32"/>
  <c r="G15" i="32"/>
  <c r="F15" i="32"/>
  <c r="E15" i="32"/>
  <c r="D15" i="32"/>
  <c r="K14" i="32"/>
  <c r="K12" i="32"/>
  <c r="J10" i="32"/>
  <c r="I10" i="32"/>
  <c r="H10" i="32"/>
  <c r="G10" i="32"/>
  <c r="F10" i="32"/>
  <c r="E10" i="32"/>
  <c r="D10" i="32"/>
  <c r="K9" i="32"/>
  <c r="K8" i="32"/>
  <c r="J7" i="32"/>
  <c r="I7" i="32"/>
  <c r="H7" i="32"/>
  <c r="H11" i="32" s="1"/>
  <c r="G7" i="32"/>
  <c r="F7" i="32"/>
  <c r="E7" i="32"/>
  <c r="D7" i="32"/>
  <c r="D11" i="32" s="1"/>
  <c r="K6" i="32"/>
  <c r="K5" i="32"/>
  <c r="F105" i="34" l="1"/>
  <c r="G237" i="34" s="1"/>
  <c r="E13" i="33"/>
  <c r="E15" i="33" s="1"/>
  <c r="E19" i="33" s="1"/>
  <c r="G24" i="34"/>
  <c r="G27" i="34" s="1"/>
  <c r="K7" i="32"/>
  <c r="F236" i="34"/>
  <c r="F20" i="33"/>
  <c r="K10" i="32"/>
  <c r="F11" i="32"/>
  <c r="F13" i="32" s="1"/>
  <c r="J11" i="32"/>
  <c r="J17" i="32" s="1"/>
  <c r="J22" i="32" s="1"/>
  <c r="E11" i="32"/>
  <c r="E17" i="32" s="1"/>
  <c r="E22" i="32" s="1"/>
  <c r="I11" i="32"/>
  <c r="I17" i="32" s="1"/>
  <c r="I22" i="32" s="1"/>
  <c r="F21" i="33"/>
  <c r="F18" i="33"/>
  <c r="K15" i="32"/>
  <c r="D9" i="33"/>
  <c r="F9" i="33" s="1"/>
  <c r="F7" i="33"/>
  <c r="F24" i="33"/>
  <c r="G25" i="33"/>
  <c r="F30" i="33"/>
  <c r="C237" i="34"/>
  <c r="F17" i="33"/>
  <c r="G16" i="33"/>
  <c r="H18" i="33"/>
  <c r="H33" i="33"/>
  <c r="E23" i="33"/>
  <c r="F23" i="33" s="1"/>
  <c r="D12" i="33"/>
  <c r="F12" i="33" s="1"/>
  <c r="J13" i="32"/>
  <c r="D13" i="32"/>
  <c r="D17" i="32"/>
  <c r="H13" i="32"/>
  <c r="H17" i="32"/>
  <c r="H22" i="32" s="1"/>
  <c r="G11" i="32"/>
  <c r="K20" i="32"/>
  <c r="I13" i="32" l="1"/>
  <c r="E13" i="32"/>
  <c r="F17" i="32"/>
  <c r="F22" i="32" s="1"/>
  <c r="K11" i="32"/>
  <c r="E26" i="33"/>
  <c r="H32" i="33"/>
  <c r="H34" i="33" s="1"/>
  <c r="J25" i="33"/>
  <c r="H39" i="33"/>
  <c r="H24" i="33"/>
  <c r="D13" i="33"/>
  <c r="J24" i="32"/>
  <c r="E24" i="32"/>
  <c r="G13" i="32"/>
  <c r="K13" i="32" s="1"/>
  <c r="G17" i="32"/>
  <c r="G22" i="32" s="1"/>
  <c r="D22" i="32"/>
  <c r="D24" i="32" s="1"/>
  <c r="F24" i="32"/>
  <c r="H24" i="32"/>
  <c r="I24" i="32"/>
  <c r="K17" i="32" l="1"/>
  <c r="F13" i="33"/>
  <c r="D15" i="33"/>
  <c r="K22" i="32"/>
  <c r="G24" i="32"/>
  <c r="D19" i="33" l="1"/>
  <c r="F15" i="33"/>
  <c r="K24" i="32"/>
  <c r="D27" i="33" s="1"/>
  <c r="D26" i="33" l="1"/>
  <c r="F19" i="33"/>
  <c r="F26" i="33" l="1"/>
  <c r="F27" i="33" l="1"/>
  <c r="E28" i="33"/>
  <c r="F28" i="33" l="1"/>
  <c r="E29" i="33"/>
  <c r="F29" i="33" s="1"/>
  <c r="H40" i="33" s="1"/>
  <c r="H41" i="33" s="1"/>
  <c r="E48" i="31" l="1"/>
  <c r="E47" i="31"/>
  <c r="E49" i="31"/>
  <c r="M50" i="31"/>
  <c r="K50" i="31"/>
  <c r="I50" i="31"/>
  <c r="G50" i="31"/>
  <c r="E50" i="31"/>
  <c r="O49" i="31"/>
  <c r="O48" i="31"/>
  <c r="O47" i="31"/>
  <c r="O45" i="31"/>
  <c r="O44" i="31"/>
  <c r="O43" i="31"/>
  <c r="M35" i="31"/>
  <c r="L35" i="31"/>
  <c r="L50" i="31" s="1"/>
  <c r="K35" i="31"/>
  <c r="J35" i="31"/>
  <c r="J50" i="31" s="1"/>
  <c r="I35" i="31"/>
  <c r="H35" i="31"/>
  <c r="H50" i="31" s="1"/>
  <c r="G35" i="31"/>
  <c r="F35" i="31"/>
  <c r="F50" i="31" s="1"/>
  <c r="E35" i="31"/>
  <c r="D35" i="31"/>
  <c r="D50" i="31" s="1"/>
  <c r="O34" i="31"/>
  <c r="N34" i="31"/>
  <c r="O33" i="31"/>
  <c r="N33" i="31"/>
  <c r="O32" i="31"/>
  <c r="N32" i="31"/>
  <c r="O31" i="31"/>
  <c r="N31" i="31"/>
  <c r="O30" i="31"/>
  <c r="N30" i="31"/>
  <c r="O29" i="31"/>
  <c r="N29" i="31"/>
  <c r="O28" i="31"/>
  <c r="N28" i="31"/>
  <c r="O27" i="31"/>
  <c r="N27" i="31"/>
  <c r="O26" i="31"/>
  <c r="N26" i="31"/>
  <c r="O25" i="31"/>
  <c r="N25" i="31"/>
  <c r="O24" i="31"/>
  <c r="N24" i="31"/>
  <c r="M19" i="31"/>
  <c r="L19" i="31"/>
  <c r="K19" i="31"/>
  <c r="J19" i="31"/>
  <c r="I19" i="31"/>
  <c r="H19" i="31"/>
  <c r="G19" i="31"/>
  <c r="F19" i="31"/>
  <c r="E19" i="31"/>
  <c r="D19" i="31"/>
  <c r="O35" i="31" l="1"/>
  <c r="P50" i="31"/>
  <c r="N35" i="31"/>
  <c r="N50" i="31" s="1"/>
  <c r="Q45" i="31"/>
  <c r="O50" i="31"/>
  <c r="Q44" i="31"/>
  <c r="C18" i="21" l="1"/>
  <c r="C13" i="21" s="1"/>
  <c r="E6" i="21"/>
  <c r="C12" i="21" l="1"/>
  <c r="C46" i="21" s="1"/>
  <c r="C10" i="21"/>
  <c r="C11" i="21" s="1"/>
  <c r="C47" i="21" l="1"/>
  <c r="F37" i="20"/>
  <c r="E37" i="20"/>
  <c r="D37" i="20"/>
  <c r="K17" i="20"/>
  <c r="E33" i="20" s="1"/>
  <c r="L17" i="20"/>
  <c r="F33" i="20" s="1"/>
  <c r="K16" i="20"/>
  <c r="E29" i="20" s="1"/>
  <c r="L16" i="20"/>
  <c r="F29" i="20" s="1"/>
  <c r="J17" i="20"/>
  <c r="D33" i="20" s="1"/>
  <c r="D29" i="20"/>
  <c r="K15" i="20"/>
  <c r="K25" i="20" s="1"/>
  <c r="L15" i="20"/>
  <c r="L25" i="20" s="1"/>
  <c r="J15" i="20"/>
  <c r="J25" i="20" s="1"/>
  <c r="E17" i="20"/>
  <c r="E32" i="20" s="1"/>
  <c r="F17" i="20"/>
  <c r="F32" i="20" s="1"/>
  <c r="D17" i="20"/>
  <c r="D32" i="20" s="1"/>
  <c r="E16" i="20"/>
  <c r="E28" i="20" s="1"/>
  <c r="F16" i="20"/>
  <c r="F28" i="20" s="1"/>
  <c r="D28" i="20"/>
  <c r="E15" i="20"/>
  <c r="E25" i="20" s="1"/>
  <c r="F15" i="20"/>
  <c r="F25" i="20" s="1"/>
  <c r="D15" i="20"/>
  <c r="D25" i="20" s="1"/>
  <c r="F30" i="20" l="1"/>
  <c r="E34" i="20"/>
  <c r="D34" i="20"/>
  <c r="F34" i="20"/>
  <c r="E30" i="20"/>
  <c r="D30" i="20"/>
  <c r="F36" i="20" l="1"/>
  <c r="F38" i="20" s="1"/>
  <c r="E36" i="20"/>
  <c r="E38" i="20" s="1"/>
  <c r="D36" i="20"/>
  <c r="D38" i="20" s="1"/>
  <c r="F35" i="21"/>
  <c r="E35" i="21"/>
  <c r="D35" i="21"/>
  <c r="F31" i="21"/>
  <c r="E31" i="21"/>
  <c r="D31" i="21"/>
  <c r="F18" i="21"/>
  <c r="D18" i="21"/>
  <c r="F14" i="21"/>
  <c r="E14" i="21"/>
  <c r="D14" i="21"/>
  <c r="D10" i="21"/>
  <c r="D13" i="21" l="1"/>
  <c r="F13" i="21"/>
  <c r="F12" i="21" s="1"/>
  <c r="E13" i="21"/>
  <c r="E12" i="21" s="1"/>
  <c r="E30" i="21"/>
  <c r="E29" i="21" s="1"/>
  <c r="F30" i="21"/>
  <c r="F29" i="21" s="1"/>
  <c r="D30" i="21"/>
  <c r="D11" i="21"/>
  <c r="F6" i="21"/>
  <c r="E3" i="21"/>
  <c r="F46" i="21" l="1"/>
  <c r="E46" i="21"/>
  <c r="D29" i="21"/>
  <c r="E10" i="21"/>
  <c r="F3" i="21"/>
  <c r="D12" i="21"/>
  <c r="J20" i="18"/>
  <c r="I20" i="18"/>
  <c r="H20" i="18"/>
  <c r="G20" i="18"/>
  <c r="F20" i="18"/>
  <c r="E20" i="18"/>
  <c r="D20" i="18"/>
  <c r="C20" i="18"/>
  <c r="C18" i="18"/>
  <c r="C25" i="18"/>
  <c r="H18" i="18"/>
  <c r="H22" i="18" s="1"/>
  <c r="J18" i="18"/>
  <c r="I18" i="18"/>
  <c r="G18" i="18"/>
  <c r="F18" i="18"/>
  <c r="E18" i="18"/>
  <c r="D18" i="18"/>
  <c r="J22" i="18" l="1"/>
  <c r="J24" i="18" s="1"/>
  <c r="G22" i="18"/>
  <c r="G24" i="18" s="1"/>
  <c r="F22" i="18"/>
  <c r="F24" i="18" s="1"/>
  <c r="D22" i="18"/>
  <c r="D24" i="18" s="1"/>
  <c r="E22" i="18"/>
  <c r="E24" i="18" s="1"/>
  <c r="I22" i="18"/>
  <c r="I24" i="18" s="1"/>
  <c r="C22" i="18"/>
  <c r="C24" i="18" s="1"/>
  <c r="H24" i="18"/>
  <c r="F10" i="21"/>
  <c r="F11" i="21" s="1"/>
  <c r="F47" i="21" s="1"/>
  <c r="D46" i="21"/>
  <c r="E11" i="21"/>
  <c r="E47" i="21" l="1"/>
  <c r="D47" i="21"/>
  <c r="E44" i="9" l="1"/>
  <c r="D43" i="9"/>
  <c r="C43" i="9"/>
  <c r="B43" i="9"/>
  <c r="B7" i="9" s="1"/>
  <c r="D42" i="9"/>
  <c r="C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19" i="9"/>
  <c r="E18" i="9"/>
  <c r="E17" i="9"/>
  <c r="E16" i="9"/>
  <c r="B42" i="9" l="1"/>
  <c r="B52" i="9" s="1"/>
  <c r="E20" i="9"/>
  <c r="E42" i="9" s="1"/>
  <c r="E43" i="9"/>
  <c r="B49" i="9"/>
  <c r="G9" i="6"/>
  <c r="D8" i="6"/>
  <c r="D13" i="6" s="1"/>
  <c r="C8" i="6"/>
  <c r="C13" i="6" s="1"/>
  <c r="G8" i="6" l="1"/>
  <c r="G13" i="6" s="1"/>
  <c r="F13" i="6" l="1"/>
</calcChain>
</file>

<file path=xl/sharedStrings.xml><?xml version="1.0" encoding="utf-8"?>
<sst xmlns="http://schemas.openxmlformats.org/spreadsheetml/2006/main" count="2191" uniqueCount="1470">
  <si>
    <t>INTÉZMÉNYEK MARADVÁNYKIMUTATÁSA</t>
  </si>
  <si>
    <t>Sor-szám</t>
  </si>
  <si>
    <t>Megnevezés</t>
  </si>
  <si>
    <t>1.</t>
  </si>
  <si>
    <t>2.</t>
  </si>
  <si>
    <t>3.</t>
  </si>
  <si>
    <t>4.</t>
  </si>
  <si>
    <t>5.</t>
  </si>
  <si>
    <t>6.</t>
  </si>
  <si>
    <t>7.</t>
  </si>
  <si>
    <t>Mindösszesen</t>
  </si>
  <si>
    <t>Dunaharaszti Polgármesteri Hivatal</t>
  </si>
  <si>
    <t>Dunaharaszti Városi Bölcsőde</t>
  </si>
  <si>
    <t>Dunaharaszti Területi Gondozási Központ</t>
  </si>
  <si>
    <t>Dunaharaszti Mese Óvoda</t>
  </si>
  <si>
    <t>Dunaharaszti Hétszínvirág Óvoda</t>
  </si>
  <si>
    <t>Alaptevékenység költségvetési bevételei</t>
  </si>
  <si>
    <t>Alaptevékenység költségvetési kiadásai</t>
  </si>
  <si>
    <r>
      <t xml:space="preserve">Alaptevékenység költségvetési egyenlege </t>
    </r>
    <r>
      <rPr>
        <i/>
        <sz val="18"/>
        <color indexed="8"/>
        <rFont val="Garamond"/>
        <family val="1"/>
        <charset val="238"/>
      </rPr>
      <t>(Alaptevékenység költségvetési bevételei - Alaptevékenység költségvetési kiadásai)</t>
    </r>
  </si>
  <si>
    <t>Alaptevékenység finanszírozási bevétele</t>
  </si>
  <si>
    <t>Alaptevékenység finanszírozási kiadása</t>
  </si>
  <si>
    <r>
      <t xml:space="preserve">Alaptevékenység finanszírozási egyenlege </t>
    </r>
    <r>
      <rPr>
        <i/>
        <sz val="18"/>
        <color indexed="8"/>
        <rFont val="Garamond"/>
        <family val="1"/>
        <charset val="238"/>
      </rPr>
      <t>(Alaptevékenység finanszírozási bevétele - Alaptevékenység finanszírozási kiadása)</t>
    </r>
  </si>
  <si>
    <r>
      <t>Alaptevékenység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  <r>
      <rPr>
        <i/>
        <sz val="18"/>
        <color indexed="8"/>
        <rFont val="Garamond"/>
        <family val="1"/>
        <charset val="238"/>
      </rPr>
      <t>(+/- Alaptevékenység költségvetési egyenlege +/- Alaptevékenység finanszírozási egyenlege)</t>
    </r>
  </si>
  <si>
    <t>8.</t>
  </si>
  <si>
    <r>
      <t>Vállalkozási 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</si>
  <si>
    <t>9.</t>
  </si>
  <si>
    <r>
      <t>Összes maradvány</t>
    </r>
    <r>
      <rPr>
        <b/>
        <i/>
        <sz val="15"/>
        <color indexed="8"/>
        <rFont val="Garamond"/>
        <family val="1"/>
        <charset val="238"/>
      </rPr>
      <t xml:space="preserve"> (Alaptevékenység maradványa + Vállalkozói tevékenység maradványa)</t>
    </r>
  </si>
  <si>
    <t>10.</t>
  </si>
  <si>
    <t>Alaptevékenység kötelezettvállalással terhelt maradvány (részletezve 39.c tábla)</t>
  </si>
  <si>
    <t>ebből: működés</t>
  </si>
  <si>
    <t>ebből: felhalmozás</t>
  </si>
  <si>
    <t>11.</t>
  </si>
  <si>
    <r>
      <t>Alaptevékenység szabad maradványa</t>
    </r>
    <r>
      <rPr>
        <i/>
        <sz val="15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</si>
  <si>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12.</t>
  </si>
  <si>
    <t>13.</t>
  </si>
  <si>
    <t>Alszámlák (kötött)</t>
  </si>
  <si>
    <t>14.</t>
  </si>
  <si>
    <t>Alaptevékenység korrigált szabad maradványa</t>
  </si>
  <si>
    <t>15.</t>
  </si>
  <si>
    <t>Elvonás szabad maradvány terhére</t>
  </si>
  <si>
    <t>16.</t>
  </si>
  <si>
    <t>Dunaharaszti Család- és Gyermekjóléti Szolgálat</t>
  </si>
  <si>
    <t>ÖNKORMÁNYZAT MARADVÁNYKIMUTATÁSA</t>
  </si>
  <si>
    <t>Intézmények összesen</t>
  </si>
  <si>
    <t>Önkormányzat</t>
  </si>
  <si>
    <t>Városi szintű önkormányzat összesen</t>
  </si>
  <si>
    <r>
      <t>Összes maradvány</t>
    </r>
    <r>
      <rPr>
        <b/>
        <i/>
        <sz val="18"/>
        <color indexed="8"/>
        <rFont val="Garamond"/>
        <family val="1"/>
        <charset val="238"/>
      </rPr>
      <t xml:space="preserve"> (Alaptevékenység maradványa + Vállalkozói tevékenység maradványa+korrekciók)</t>
    </r>
  </si>
  <si>
    <r>
      <t>Alaptevékenység szabad maradványa</t>
    </r>
    <r>
      <rPr>
        <i/>
        <sz val="18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</si>
  <si>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KGR-rel egyező</t>
  </si>
  <si>
    <t>KGR riport</t>
  </si>
  <si>
    <t>17.</t>
  </si>
  <si>
    <t>Intézményi költségvetési befizetés</t>
  </si>
  <si>
    <t>18.</t>
  </si>
  <si>
    <t>Dunaharaszti Város Önkormányzata - kötött maradvány</t>
  </si>
  <si>
    <t>Dunaharaszti Város Önkormányzata</t>
  </si>
  <si>
    <t>1. Mérlegben szereplő kötött maradvány</t>
  </si>
  <si>
    <t>Szerződés tárgya</t>
  </si>
  <si>
    <t>Összeg</t>
  </si>
  <si>
    <t>Működés</t>
  </si>
  <si>
    <t>Felhalmozás</t>
  </si>
  <si>
    <t>MÉRLEGBEN SZEREPLŐ KÖTÖTT MARADVÁNY</t>
  </si>
  <si>
    <t>3. Elkülönített számlák</t>
  </si>
  <si>
    <t>Víziközmű számla</t>
  </si>
  <si>
    <t>Parkolóhely megváltás számla</t>
  </si>
  <si>
    <t>Adós idegen szla</t>
  </si>
  <si>
    <t>ELKÜLÖNÍTETT SZÁMLÁK</t>
  </si>
  <si>
    <t>ELKÜLÖNÍTETT SZÁMLA</t>
  </si>
  <si>
    <t>Dunaharaszti Városi Könyvtár és József Attila Művelődési Ház</t>
  </si>
  <si>
    <t>Könyvtár 1 % számla</t>
  </si>
  <si>
    <t>Dunaharaszti Város Önkormányzata szabad maradvány felhasználása</t>
  </si>
  <si>
    <t>Sorszám</t>
  </si>
  <si>
    <t>Felhalmozási</t>
  </si>
  <si>
    <t>Működési</t>
  </si>
  <si>
    <t>Kiemelt állami és önkormányzati rendezvények</t>
  </si>
  <si>
    <t>Szabad maradvány</t>
  </si>
  <si>
    <t>Helyi közutak fenntartása</t>
  </si>
  <si>
    <t>"Várossá válás" szeptemberi ünnepsége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</si>
  <si>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</si>
  <si>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</si>
  <si>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</si>
  <si>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</si>
  <si>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</si>
  <si>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</si>
  <si>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</si>
  <si>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</si>
  <si>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</si>
  <si>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</si>
  <si>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 Részvények, törzstőkék, üzletrészek állománya (Ft)</t>
  </si>
  <si>
    <t>Kibocsátó neve</t>
  </si>
  <si>
    <t>Értékvesztés</t>
  </si>
  <si>
    <t>Kibocsátás, alapítás  kelte</t>
  </si>
  <si>
    <t>Letéti hely</t>
  </si>
  <si>
    <t>%</t>
  </si>
  <si>
    <t>összege (Ft)</t>
  </si>
  <si>
    <t>( értékvesztés miatt )</t>
  </si>
  <si>
    <t>tulajdoni hányada</t>
  </si>
  <si>
    <t>DV Kft. törzstőke</t>
  </si>
  <si>
    <t>1995/2003</t>
  </si>
  <si>
    <t>-</t>
  </si>
  <si>
    <t>1/1</t>
  </si>
  <si>
    <t>DHRV Kft. Törzstőke</t>
  </si>
  <si>
    <t>51/100</t>
  </si>
  <si>
    <t>Dél-Pest Megyei Víziközmű Szolgáltató Zrt</t>
  </si>
  <si>
    <t>2012.</t>
  </si>
  <si>
    <t>MULTI-DH Hulladékkezelő Kft</t>
  </si>
  <si>
    <t>ÉDV</t>
  </si>
  <si>
    <t>Összesen</t>
  </si>
  <si>
    <t>12/A - Mérleg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</si>
  <si>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</si>
  <si>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</si>
  <si>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</si>
  <si>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</si>
  <si>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</si>
  <si>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</si>
  <si>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</si>
  <si>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</si>
  <si>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</si>
  <si>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</si>
  <si>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</si>
  <si>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</si>
  <si>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</si>
  <si>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</si>
  <si>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</si>
  <si>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</si>
  <si>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</si>
  <si>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</si>
  <si>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</si>
  <si>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</si>
  <si>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</si>
  <si>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</si>
  <si>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</si>
  <si>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</si>
  <si>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</si>
  <si>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</si>
  <si>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</si>
  <si>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</si>
  <si>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</si>
  <si>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</si>
  <si>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</si>
  <si>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</si>
  <si>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</si>
  <si>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</si>
  <si>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</si>
  <si>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</si>
  <si>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</si>
  <si>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</si>
  <si>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</si>
  <si>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</si>
  <si>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</si>
  <si>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</si>
  <si>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</si>
  <si>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</si>
  <si>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</si>
  <si>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</si>
  <si>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</si>
  <si>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</si>
  <si>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</si>
  <si>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</si>
  <si>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</si>
  <si>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</si>
  <si>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</si>
  <si>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</si>
  <si>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</si>
  <si>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</si>
  <si>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</si>
  <si>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</si>
  <si>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</si>
  <si>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</si>
  <si>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</si>
  <si>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</si>
  <si>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</si>
  <si>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</si>
  <si>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</si>
  <si>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</si>
  <si>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</si>
  <si>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</si>
  <si>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</si>
  <si>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</si>
  <si>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</si>
  <si>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</si>
  <si>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</si>
  <si>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</si>
  <si>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</si>
  <si>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</si>
  <si>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</si>
  <si>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</si>
  <si>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</si>
  <si>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</si>
  <si>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</si>
  <si>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</si>
  <si>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</si>
  <si>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</si>
  <si>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</si>
  <si>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</si>
  <si>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</si>
  <si>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</si>
  <si>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</si>
  <si>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</si>
  <si>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</si>
  <si>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</si>
  <si>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</si>
  <si>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</si>
  <si>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</si>
  <si>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</si>
  <si>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</si>
  <si>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</si>
  <si>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</si>
  <si>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</si>
  <si>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</si>
  <si>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</si>
  <si>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</si>
  <si>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</si>
  <si>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</si>
  <si>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</si>
  <si>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</si>
  <si>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</si>
  <si>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</si>
  <si>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</si>
  <si>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</si>
  <si>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</si>
  <si>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</si>
  <si>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</si>
  <si>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</si>
  <si>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</si>
  <si>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</si>
  <si>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</si>
  <si>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</si>
  <si>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</si>
  <si>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</si>
  <si>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</si>
  <si>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</si>
  <si>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</si>
  <si>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</si>
  <si>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</si>
  <si>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</si>
  <si>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</si>
  <si>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</si>
  <si>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</si>
  <si>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</si>
  <si>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</si>
  <si>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</si>
  <si>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</si>
  <si>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</si>
  <si>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</si>
  <si>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</si>
  <si>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</si>
  <si>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</si>
  <si>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</si>
  <si>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</si>
  <si>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</si>
  <si>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</si>
  <si>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</si>
  <si>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</si>
  <si>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</si>
  <si>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</si>
  <si>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</si>
  <si>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</si>
  <si>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</si>
  <si>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</si>
  <si>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</si>
  <si>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</si>
  <si>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</si>
  <si>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</si>
  <si>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</si>
  <si>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</si>
  <si>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</si>
  <si>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</si>
  <si>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</si>
  <si>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</si>
  <si>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</si>
  <si>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</si>
  <si>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</si>
  <si>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</si>
  <si>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</si>
  <si>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</si>
  <si>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</si>
  <si>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</si>
  <si>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</si>
  <si>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</si>
  <si>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</si>
  <si>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</si>
  <si>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</si>
  <si>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</si>
  <si>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</si>
  <si>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</si>
  <si>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</si>
  <si>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</si>
  <si>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</si>
  <si>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</si>
  <si>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</si>
  <si>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</si>
  <si>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</si>
  <si>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</si>
  <si>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</si>
  <si>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</si>
  <si>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</si>
  <si>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</si>
  <si>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</si>
  <si>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</si>
  <si>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</si>
  <si>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</si>
  <si>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</si>
  <si>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</si>
  <si>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</si>
  <si>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</si>
  <si>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</si>
  <si>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</si>
  <si>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</si>
  <si>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</si>
  <si>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</si>
  <si>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</si>
  <si>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</si>
  <si>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</si>
  <si>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</si>
  <si>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</si>
  <si>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</si>
  <si>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</si>
  <si>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</si>
  <si>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</si>
  <si>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</si>
  <si>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</si>
  <si>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</si>
  <si>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</si>
  <si>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</si>
  <si>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</si>
  <si>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</si>
  <si>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</si>
  <si>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</si>
  <si>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</si>
  <si>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</si>
  <si>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</si>
  <si>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</si>
  <si>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</si>
  <si>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</si>
  <si>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</si>
  <si>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</si>
  <si>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</si>
  <si>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</si>
  <si>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</si>
  <si>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</si>
  <si>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</si>
  <si>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</si>
  <si>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</si>
  <si>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</si>
  <si>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</si>
  <si>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</si>
  <si>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</si>
  <si>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</si>
  <si>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</si>
  <si>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</si>
  <si>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</si>
  <si>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</si>
  <si>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</si>
  <si>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</si>
  <si>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</si>
  <si>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</si>
  <si>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</si>
  <si>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</si>
  <si>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</si>
  <si>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</si>
  <si>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</si>
  <si>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</si>
  <si>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</si>
  <si>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</si>
  <si>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</si>
  <si>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</si>
  <si>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</si>
  <si>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</si>
  <si>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</si>
  <si>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</si>
  <si>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</si>
  <si>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</si>
  <si>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</si>
  <si>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</si>
  <si>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</si>
  <si>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</si>
  <si>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</si>
  <si>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</si>
  <si>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</si>
  <si>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</si>
  <si>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</si>
  <si>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</si>
  <si>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138</t>
  </si>
  <si>
    <t>D/II8a - ebből: költségvetési évet követően esedékes követelések befektetési célú belföldi értékpapírok beváltásából, értékesítéséből</t>
  </si>
  <si>
    <t>139</t>
  </si>
  <si>
    <t>140</t>
  </si>
  <si>
    <t>141</t>
  </si>
  <si>
    <t>D/II Költségvetési évet követően esedékes követelések (=D/II/1+…+D/II/8)</t>
  </si>
  <si>
    <t>142</t>
  </si>
  <si>
    <t>D/III/1 Adott előlegek (=D/III/1a+…+D/III/1f)</t>
  </si>
  <si>
    <t>143</t>
  </si>
  <si>
    <t>D/III/1a - ebből: immateriális javakra adott előlegek</t>
  </si>
  <si>
    <t>144</t>
  </si>
  <si>
    <t>145</t>
  </si>
  <si>
    <t>D/III/1c - ebből: készletekre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</si>
  <si>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</si>
  <si>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</si>
  <si>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</si>
  <si>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</si>
  <si>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</si>
  <si>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</si>
  <si>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149</t>
  </si>
  <si>
    <t>D/III/2 Továbbadási célból folyósított támogatások, ellátások elszámolása</t>
  </si>
  <si>
    <t>150</t>
  </si>
  <si>
    <t>D/III/3 Más által beszedett bevételek elszámolása</t>
  </si>
  <si>
    <t>151</t>
  </si>
  <si>
    <t>D/III/4 Forgótőke elszámolása</t>
  </si>
  <si>
    <t>152</t>
  </si>
  <si>
    <t>D/III/5 Vagyonkezelésbe adott eszközökkel kapcsolatos visszapótlási követelés elszámolása</t>
  </si>
  <si>
    <t>153</t>
  </si>
  <si>
    <t>D/III/6 Nem társadalombiztosítás pénzügyi alapjait terhelő kifizetett ellátások megtérítésének elszámolása</t>
  </si>
  <si>
    <t>154</t>
  </si>
  <si>
    <t>D/III/7 Folyósított, megelőlegezett társadalombiztosítási és családtámogatási ellátások elszámolása</t>
  </si>
  <si>
    <t>155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</si>
  <si>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</si>
  <si>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</si>
  <si>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</si>
  <si>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</si>
  <si>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</si>
  <si>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</si>
  <si>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</si>
  <si>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</si>
  <si>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</si>
  <si>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</si>
  <si>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</si>
  <si>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</si>
  <si>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</si>
  <si>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</si>
  <si>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</si>
  <si>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</si>
  <si>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</si>
  <si>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</si>
  <si>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</si>
  <si>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</si>
  <si>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</si>
  <si>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</si>
  <si>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</si>
  <si>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</si>
  <si>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</si>
  <si>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</si>
  <si>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</si>
  <si>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</si>
  <si>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</si>
  <si>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</si>
  <si>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</si>
  <si>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</si>
  <si>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</si>
  <si>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</si>
  <si>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</si>
  <si>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</si>
  <si>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</si>
  <si>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</si>
  <si>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</si>
  <si>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</si>
  <si>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</si>
  <si>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</si>
  <si>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</si>
  <si>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</si>
  <si>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</si>
  <si>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</si>
  <si>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</si>
  <si>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</si>
  <si>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</si>
  <si>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</si>
  <si>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</si>
  <si>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</si>
  <si>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</si>
  <si>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</si>
  <si>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</si>
  <si>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</si>
  <si>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</si>
  <si>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</si>
  <si>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</si>
  <si>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</si>
  <si>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</si>
  <si>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</si>
  <si>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</si>
  <si>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</si>
  <si>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</si>
  <si>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</si>
  <si>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</si>
  <si>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</si>
  <si>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</si>
  <si>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</si>
  <si>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</si>
  <si>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</si>
  <si>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</si>
  <si>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</si>
  <si>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</si>
  <si>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</si>
  <si>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</si>
  <si>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</si>
  <si>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</si>
  <si>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</si>
  <si>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</si>
  <si>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</si>
  <si>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</si>
  <si>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</si>
  <si>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</si>
  <si>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</si>
  <si>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</si>
  <si>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</si>
  <si>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</si>
  <si>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</si>
  <si>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</si>
  <si>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</si>
  <si>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</si>
  <si>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</si>
  <si>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</si>
  <si>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</si>
  <si>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</si>
  <si>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</si>
  <si>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</si>
  <si>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</si>
  <si>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</si>
  <si>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</si>
  <si>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</si>
  <si>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</si>
  <si>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</si>
  <si>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</si>
  <si>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</si>
  <si>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</si>
  <si>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</si>
  <si>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</si>
  <si>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</si>
  <si>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</si>
  <si>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</si>
  <si>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</si>
  <si>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</si>
  <si>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</si>
  <si>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</si>
  <si>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</si>
  <si>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</si>
  <si>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219</t>
  </si>
  <si>
    <t>220</t>
  </si>
  <si>
    <t>221</t>
  </si>
  <si>
    <t>222</t>
  </si>
  <si>
    <t>H/II Költségvetési évet követően esedékes kötelezettségek (=H/II/1+…+H/II/9)</t>
  </si>
  <si>
    <t>223</t>
  </si>
  <si>
    <t>224</t>
  </si>
  <si>
    <t>225</t>
  </si>
  <si>
    <t>226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</si>
  <si>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</si>
  <si>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</si>
  <si>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</si>
  <si>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</si>
  <si>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</si>
  <si>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</si>
  <si>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</si>
  <si>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</si>
  <si>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</si>
  <si>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</si>
  <si>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</si>
  <si>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</si>
  <si>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</si>
  <si>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</si>
  <si>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</si>
  <si>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</si>
  <si>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</si>
  <si>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</si>
  <si>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</si>
  <si>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</si>
  <si>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</si>
  <si>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</si>
  <si>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</si>
  <si>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</si>
  <si>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</si>
  <si>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</si>
  <si>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</si>
  <si>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</si>
  <si>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</si>
  <si>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</si>
  <si>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</si>
  <si>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</si>
  <si>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</si>
  <si>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13/A - Eredménykimutatás</t>
  </si>
  <si>
    <t>Dunaharaszti Város Önkormányzat célhiteleihez és egyéb fejlesztési hiteleihez kapcsolódó kötelezettségvállalás</t>
  </si>
  <si>
    <t>Célhitel (OTP)</t>
  </si>
  <si>
    <t>Hitel célja</t>
  </si>
  <si>
    <t>7.2 hitelcél: Közoktatási feladatellátás int….</t>
  </si>
  <si>
    <t>5.1 hitelcél: Helyi közútak építése, felújítása</t>
  </si>
  <si>
    <t>6.3 hitelcél: Csapadék - vízelvezetés</t>
  </si>
  <si>
    <t>Hitelszerződés kelte</t>
  </si>
  <si>
    <t>Kötelezettségvállalás száma</t>
  </si>
  <si>
    <t>Felvétel éve</t>
  </si>
  <si>
    <t>Kamat mértéke</t>
  </si>
  <si>
    <t>3 havi BUBOR + MFB refinanszírozási kamatfelár + OTP kamatfelár 2,5 %</t>
  </si>
  <si>
    <t>Biztosíték, jelzálog, óvadék</t>
  </si>
  <si>
    <t>Évek</t>
  </si>
  <si>
    <t>Törlesztések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</si>
  <si>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</si>
  <si>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</si>
  <si>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</si>
  <si>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</si>
  <si>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</si>
  <si>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</si>
  <si>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</si>
  <si>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</si>
  <si>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</si>
  <si>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</si>
  <si>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</si>
  <si>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</si>
  <si>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</si>
  <si>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</si>
  <si>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</si>
  <si>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</si>
  <si>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</si>
  <si>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</si>
  <si>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</si>
  <si>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</si>
  <si>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</si>
  <si>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</si>
  <si>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</si>
  <si>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</si>
  <si>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</si>
  <si>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Le nem hívott hitel állomány</t>
  </si>
  <si>
    <t>Dunaharaszti Város Önkormányzatának európai uniós forrásokból megvalósuló beruházásai</t>
  </si>
  <si>
    <r>
      <t xml:space="preserve">Projektmenedzser: </t>
    </r>
    <r>
      <rPr>
        <b/>
        <sz val="10"/>
        <rFont val="Arial"/>
        <family val="2"/>
        <charset val="238"/>
      </rPr>
      <t>Corex Projektfejlesztési Kft.</t>
    </r>
  </si>
  <si>
    <t>Nettó</t>
  </si>
  <si>
    <t>A projekt fenntartási időszakára vállalt számszerűsíthető eredmények:</t>
  </si>
  <si>
    <t>Megújuló energiahordozó felhasználás növekedése (GJ/év)</t>
  </si>
  <si>
    <t>ÜHG-kibocsátás csökkentése (t/év)</t>
  </si>
  <si>
    <t>Horizontális vállalások</t>
  </si>
  <si>
    <t>4. A szervezet döntéshozói, munkavállalói vagy közönsége számára esélyegyenlőségi képzést tart (I/N)</t>
  </si>
  <si>
    <t>I</t>
  </si>
  <si>
    <t>24. Helyszínválasztáskor környezetbarát közlekedési (elérhetőségi) szempontok érvényesítése (I/N)</t>
  </si>
  <si>
    <t>35. Újrahasznosított papír használat az irodai és nyomdai munkák során (I/N)</t>
  </si>
  <si>
    <r>
      <t>Projekt címe:</t>
    </r>
    <r>
      <rPr>
        <b/>
        <u/>
        <sz val="12"/>
        <rFont val="Garamond"/>
        <family val="1"/>
        <charset val="238"/>
      </rPr>
      <t xml:space="preserve"> "Dunaharaszti Napsugár Óvoda energetikai fejlesztése"</t>
    </r>
  </si>
  <si>
    <r>
      <t xml:space="preserve">Projekt azonosítószáma: </t>
    </r>
    <r>
      <rPr>
        <b/>
        <sz val="12"/>
        <rFont val="Garamond"/>
        <family val="1"/>
        <charset val="238"/>
      </rPr>
      <t>KEOP-5.3.0/B-09-2010-0099</t>
    </r>
  </si>
  <si>
    <r>
      <t xml:space="preserve">Projektmenedzser: </t>
    </r>
    <r>
      <rPr>
        <b/>
        <sz val="12"/>
        <rFont val="Garamond"/>
        <family val="1"/>
        <charset val="238"/>
      </rPr>
      <t>Corex Projektfejlesztési Kft.</t>
    </r>
  </si>
  <si>
    <t>Energiahatékonyság növelés révén megtakarított éves elsődleges (primer) energiahordozó mennyisége (GJ/év)</t>
  </si>
  <si>
    <t>a) Foglalkoztatottak száma (statisztikai állományi létszám) (fő)</t>
  </si>
  <si>
    <t>b) Nők száma a foglalkoztatottak közt (fő)</t>
  </si>
  <si>
    <t>c) A projekt által érintettek száma (fő)</t>
  </si>
  <si>
    <t>cA) Nők száma a projekt által érintett célcsoportban (fő)</t>
  </si>
  <si>
    <t>cB) Roma emberek száma a projekt által érintett célcsoportban (fő)</t>
  </si>
  <si>
    <t>cC) Fogyatékos emberek száma a projekt által érintett célcsoportban (fő)</t>
  </si>
  <si>
    <t>13. Részmunkaidős foglalkoztatottak száma (fő)</t>
  </si>
  <si>
    <t>15. Fogyatékossággal élő alkalmazottak száma (fő)</t>
  </si>
  <si>
    <t>3.f A fenntarthatósággal kapcsolatos tudásmegosztáson részt vett munkavállalók aránya tudásmegosztásban résztvevők száma (fő)</t>
  </si>
  <si>
    <t>A fenntarthatósággal kapcsolatos tudásmegosztáson részt vett munkavállalók aránya össz munkavállalói létszám (fő)</t>
  </si>
  <si>
    <t>sorszám</t>
  </si>
  <si>
    <t>Bruttó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</si>
  <si>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</si>
  <si>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</si>
  <si>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</si>
  <si>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</si>
  <si>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</si>
  <si>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</si>
  <si>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</si>
  <si>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</si>
  <si>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</si>
  <si>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</si>
  <si>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</si>
  <si>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</si>
  <si>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</si>
  <si>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</si>
  <si>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</si>
  <si>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</si>
  <si>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</si>
  <si>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</si>
  <si>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</si>
  <si>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</si>
  <si>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</si>
  <si>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</si>
  <si>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</si>
  <si>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</si>
  <si>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</si>
  <si>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</si>
  <si>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</si>
  <si>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</si>
  <si>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</si>
  <si>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</si>
  <si>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</si>
  <si>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</si>
  <si>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</si>
  <si>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</si>
  <si>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</si>
  <si>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</si>
  <si>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Fenntartási időszak</t>
  </si>
  <si>
    <t>Célérték</t>
  </si>
  <si>
    <t xml:space="preserve"> </t>
  </si>
  <si>
    <t xml:space="preserve"> Ft-ban</t>
  </si>
  <si>
    <t>Dunaharaszti Önkormányzat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</si>
  <si>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</si>
  <si>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elektronikus pénzeszközök egyenlege</t>
    </r>
  </si>
  <si>
    <t>Költségvetési bevételek   ( + )</t>
  </si>
  <si>
    <t>Költéségvetési kiadások    ( - )</t>
  </si>
  <si>
    <t>36* -364-3678 számlák (egyéb sajátos elszámolások)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</si>
  <si>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</si>
  <si>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Idegen pénzeszköz záró pénzkészlet: letéti számla</t>
  </si>
  <si>
    <t>Határozatlan idejű szerződéssel és  hosszabb időszakra vállalt  kiemelt feladatok:</t>
  </si>
  <si>
    <t>Feladat</t>
  </si>
  <si>
    <t>Kötelezettség
lejárata (év)</t>
  </si>
  <si>
    <t>Tervezett kiadások</t>
  </si>
  <si>
    <t xml:space="preserve">bevétel </t>
  </si>
  <si>
    <t>kiadás</t>
  </si>
  <si>
    <t>Ügyeleti szolgálat ellátása Dunaharaszti területén 
( Haraszti Fraxinus Egészségügyi Szolgáltató Nonprofit Közhasznú Kft)</t>
  </si>
  <si>
    <t>határozatlan</t>
  </si>
  <si>
    <t>Ügyeleti szolgálat támogatása Dunaharaszti területén 
( Haraszti Fraxinus Egészségügyi Szolgáltató Nonprofit Közhasznú Kft)</t>
  </si>
  <si>
    <t>Városi temető épületének bérleti díja DV Kft.</t>
  </si>
  <si>
    <t>Hétszínvirág Óvoda bérleti díja  DV Kft</t>
  </si>
  <si>
    <t>Sentinel-Max Kft. Dh.Önkorm.ing.,nem lakáscélú ing., irodák őrzés véd. távfelügyelete</t>
  </si>
  <si>
    <t>Asztalos László Piac komm. hulladék elszállítása</t>
  </si>
  <si>
    <t>Szomorú-szív Kft. Kóbor kutyák befogása és elszáll. közterületről</t>
  </si>
  <si>
    <t>Á-D2 Kft. Térfigyelő kamerák felügyeleti díja, karbantartása</t>
  </si>
  <si>
    <t>MICRO-PREV Kft. fogl-eü szakellátása</t>
  </si>
  <si>
    <t>Groupama Zrt. Önkormányzat és Intézményei vagyonbiztosítása</t>
  </si>
  <si>
    <t xml:space="preserve">Govern Soft Kft. CGR pénzügyi rendszer </t>
  </si>
  <si>
    <t>Határozott idejű szerződéssel vállalt több éves kihatással járó kiemelt feladatok</t>
  </si>
  <si>
    <t>.</t>
  </si>
  <si>
    <t>Parkok közterületek fenntartása Zöld Korona 2000 Kft.</t>
  </si>
  <si>
    <t>2016. december 31.</t>
  </si>
  <si>
    <t>Energia racionalizálás program (COTHEC) Polgármesteri Hivatal</t>
  </si>
  <si>
    <t>Energia racionalizálás pr. (COTHEC) Mese Óvoda</t>
  </si>
  <si>
    <t>Energia racionalizálás program (COTHEC) Városi Bölcsöde</t>
  </si>
  <si>
    <t>Energia racionalizálás pr. (COTHEC) Orvosi redelő Damjanich u.</t>
  </si>
  <si>
    <t xml:space="preserve">CAMINUS Zrt. "Szemünk fénye program" világítás energiaracionalizálás </t>
  </si>
  <si>
    <t>Multi-DH Kft. Dunaharaszti Város közigazgatási területén lakossági
 hulladék, szelektív hulladékgyűjtése-és szállítása</t>
  </si>
  <si>
    <t xml:space="preserve">Ventona-Trans Kft. Autóbusszal végzett menetrend szerinti személyszállítás </t>
  </si>
  <si>
    <t>Dunaharaszti Ipartestület támogatás</t>
  </si>
  <si>
    <t>Dunaharaszti Ipartestület műsoridő vásárlás</t>
  </si>
  <si>
    <t>Jakab Árpád erdő és természetvédelmi feladatok</t>
  </si>
  <si>
    <t>Hiteltörlesztés és kamatfizetés</t>
  </si>
  <si>
    <t>Felhalmozási célú finanszírozási kiadások (hiteltörlesztés)</t>
  </si>
  <si>
    <t xml:space="preserve">Szivárvány Óvoda építése - 7.2 hitelcél: Közoktatási feladatellátás </t>
  </si>
  <si>
    <t>2014. évi útépítések - 5.1 hitelcél: Helyi közútak építése, felújítása</t>
  </si>
  <si>
    <t>2014. évi csapadékvíz elvezetések - 6.3 hitelcél: Csapadék - vízelvezetés</t>
  </si>
  <si>
    <t>Hitelhez kapcsolódó kamatfizetési kötelezettség</t>
  </si>
  <si>
    <t xml:space="preserve">Szivárvány Óvoda építése: 7.2 hitelcél: Közoktatási feladatellátás </t>
  </si>
  <si>
    <t>Finanszírozási egyenleg (Finanszírozási bevétel - Finanszírozási kiadás)</t>
  </si>
  <si>
    <t>Költségvetési egyenleg (Költségvetési működési egyenleg + Költségvetési felhalmozási egyenleg)</t>
  </si>
  <si>
    <t>Költségvetési felhalmozási egyenleg</t>
  </si>
  <si>
    <t>Költségvetési felhalmozási kiadások</t>
  </si>
  <si>
    <t>Költségvetési felhalmozási bevételek</t>
  </si>
  <si>
    <t>Költségvetési működési egyenleg</t>
  </si>
  <si>
    <t>Költségvetési működési kiadások</t>
  </si>
  <si>
    <t>Költségvetési működési bevételek</t>
  </si>
  <si>
    <t>K1-K9</t>
  </si>
  <si>
    <t>TÁRGYÉVI KIADÁSOK ÖSSZESEN</t>
  </si>
  <si>
    <t>B1-B8</t>
  </si>
  <si>
    <t>TÁRGYÉVI BEVÉTELEK ÖSSZESEN</t>
  </si>
  <si>
    <t xml:space="preserve">    Ebből: Hitelfelvétel</t>
  </si>
  <si>
    <t xml:space="preserve">   Ebből: hitelfelvétellel kapcsolatos kiadások</t>
  </si>
  <si>
    <t xml:space="preserve">    Ebből: felhalmozási célú intézményfinanszírozás bevétele</t>
  </si>
  <si>
    <t xml:space="preserve">   Ebből felhalmozási célú intézményfinanszírozás kiadása</t>
  </si>
  <si>
    <t xml:space="preserve">    Ebből: működési célú intézményfinanszírozás bevétele</t>
  </si>
  <si>
    <t xml:space="preserve">   Ebből működési célú intézményfinanszírozás kiadása</t>
  </si>
  <si>
    <t xml:space="preserve">    Ebből: felhalmozási célú pénzmaradvány</t>
  </si>
  <si>
    <t xml:space="preserve">   Ebből: államháztartáson belüli megelőlegezések visszafizetése</t>
  </si>
  <si>
    <t xml:space="preserve">    Ebből: működési célú pénzmaradvány</t>
  </si>
  <si>
    <t>K9</t>
  </si>
  <si>
    <t>Finanszírozási kiadások</t>
  </si>
  <si>
    <t>B8</t>
  </si>
  <si>
    <t>Finanszírozási bevételek</t>
  </si>
  <si>
    <t xml:space="preserve"> ebből: költségvetési felhalmozási kiadások</t>
  </si>
  <si>
    <t xml:space="preserve"> ebből: költségvetési felhalmozási bevételek</t>
  </si>
  <si>
    <t xml:space="preserve"> ebből: költségvetési működési kiadások</t>
  </si>
  <si>
    <t xml:space="preserve"> ebből: költségvetési működési bevételek</t>
  </si>
  <si>
    <t>K1-K8</t>
  </si>
  <si>
    <t xml:space="preserve">Költségvetési kiadások </t>
  </si>
  <si>
    <t>B1-B7</t>
  </si>
  <si>
    <t xml:space="preserve">Költségvetési bevételek </t>
  </si>
  <si>
    <t>K8</t>
  </si>
  <si>
    <t xml:space="preserve">Egyéb felhalmozási célú kiadások </t>
  </si>
  <si>
    <t>K7</t>
  </si>
  <si>
    <t>Felújítások</t>
  </si>
  <si>
    <t>B7</t>
  </si>
  <si>
    <t xml:space="preserve">Felhalmozási célú átvett pénzeszközök </t>
  </si>
  <si>
    <t>K6</t>
  </si>
  <si>
    <t xml:space="preserve">Beruházások </t>
  </si>
  <si>
    <t>B6</t>
  </si>
  <si>
    <t xml:space="preserve">Működési célú átvett pénzeszközök </t>
  </si>
  <si>
    <t>K5</t>
  </si>
  <si>
    <t xml:space="preserve">Egyéb működési célú kiadások </t>
  </si>
  <si>
    <t>B5</t>
  </si>
  <si>
    <t xml:space="preserve">Felhalmozási bevételek </t>
  </si>
  <si>
    <t>K4</t>
  </si>
  <si>
    <t>Ellátottak pénzbeli juttatásai</t>
  </si>
  <si>
    <t>B4</t>
  </si>
  <si>
    <t xml:space="preserve">Működési bevételek </t>
  </si>
  <si>
    <t>K3</t>
  </si>
  <si>
    <t xml:space="preserve">Dologi kiadások </t>
  </si>
  <si>
    <t>B3</t>
  </si>
  <si>
    <t xml:space="preserve">Közhatalmi bevételek </t>
  </si>
  <si>
    <t>K2</t>
  </si>
  <si>
    <t xml:space="preserve">Munkaadókat terhelő járulékok és szociális hozzájárulási adó                                                                            </t>
  </si>
  <si>
    <t>B2</t>
  </si>
  <si>
    <t xml:space="preserve">Felhalmozási célú támogatások államháztartáson belülről </t>
  </si>
  <si>
    <t>K1</t>
  </si>
  <si>
    <t>Személyi juttatások</t>
  </si>
  <si>
    <t>B1</t>
  </si>
  <si>
    <t xml:space="preserve">Működési célú támogatások államháztartáson belülről </t>
  </si>
  <si>
    <t>Rovat</t>
  </si>
  <si>
    <t>Kiadások</t>
  </si>
  <si>
    <t>Bevételek</t>
  </si>
  <si>
    <t>Helyi adók</t>
  </si>
  <si>
    <t>Osztalékok, koncessziós díjak, hozambevételek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</si>
  <si>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</si>
  <si>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</si>
  <si>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</si>
  <si>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</si>
  <si>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</si>
  <si>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(01.+…+07.)</t>
  </si>
  <si>
    <t xml:space="preserve">Saját bevételek (08. sor) 50 %-a </t>
  </si>
  <si>
    <t>Előző év(ek)ben keletkezett tárgyévet terhelő fizetési kötelezettség (11+14+…+20)</t>
  </si>
  <si>
    <t>Hitelből eredő fizetési kötelezettség (12+13)</t>
  </si>
  <si>
    <t xml:space="preserve">   - ebből: Tőketörlesztés (12.a.+12.b.+12.c.)</t>
  </si>
  <si>
    <t>12.a.</t>
  </si>
  <si>
    <t xml:space="preserve">        1-2-13-8400-1237-9-01 hitelszerződés: 2014. évi útépítések</t>
  </si>
  <si>
    <t>12.b.</t>
  </si>
  <si>
    <t xml:space="preserve">        1-2-13-8400-1237-9-01/1 hitelszerződés: 2014. évi csapadékvíz elvezetések</t>
  </si>
  <si>
    <t>12.c.</t>
  </si>
  <si>
    <t xml:space="preserve">       ÖB 8400 2013 0098 hitelszerződés: Szivárvány Óvoda építése</t>
  </si>
  <si>
    <t xml:space="preserve">   - ebből: Kamatfizetés (13.a.+13.b.+13.c.)</t>
  </si>
  <si>
    <t>13.a.</t>
  </si>
  <si>
    <t>13.b.</t>
  </si>
  <si>
    <t>13.c.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</si>
  <si>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</si>
  <si>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</si>
  <si>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</si>
  <si>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</si>
  <si>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</si>
  <si>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</si>
  <si>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</si>
  <si>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Tárgyévben keletkezett illetve keletkező, tárgyévet terhelő fizetési kötelezettség (22+25+…+33)</t>
  </si>
  <si>
    <t>Hitelből eredő fizetési kötelezettség (23+24)</t>
  </si>
  <si>
    <t xml:space="preserve">   - ebből: Tőketörlesztés (23.a.+23.b.+23.c.)</t>
  </si>
  <si>
    <t>23.a.</t>
  </si>
  <si>
    <t>23.b.</t>
  </si>
  <si>
    <t>23.c.</t>
  </si>
  <si>
    <t xml:space="preserve">   - ebből: Kamatfizetés (24.a.+24.b.+24.c.)</t>
  </si>
  <si>
    <t>24.a.</t>
  </si>
  <si>
    <t>24.b.</t>
  </si>
  <si>
    <t>24.c.</t>
  </si>
  <si>
    <t>Fizetési kötelezettség összesen (10+21)</t>
  </si>
  <si>
    <t>Fizetési kötelezettséggel csökkentett saját bevétel (9-38)</t>
  </si>
  <si>
    <t>1. sor</t>
  </si>
  <si>
    <t>Építményadó</t>
  </si>
  <si>
    <t>TelekDÓ</t>
  </si>
  <si>
    <t>Kommadó</t>
  </si>
  <si>
    <t>053 Laffert</t>
  </si>
  <si>
    <t>Idegenforg.adó</t>
  </si>
  <si>
    <t>054 Sírhely</t>
  </si>
  <si>
    <t>Iparűzési adó</t>
  </si>
  <si>
    <t>előző évi hátralék</t>
  </si>
  <si>
    <t>3. sor</t>
  </si>
  <si>
    <t>Egyéb adóbev Pótlék, bírság (119)</t>
  </si>
  <si>
    <t>PMH B3 bírság, elj.díj</t>
  </si>
  <si>
    <t>4. sor</t>
  </si>
  <si>
    <t>052 Lakás</t>
  </si>
  <si>
    <t>069 Bérleti díj</t>
  </si>
  <si>
    <t>Művház</t>
  </si>
  <si>
    <t>Művház hátralék</t>
  </si>
  <si>
    <t>110 Közter, reklámtábla</t>
  </si>
  <si>
    <t>120 Bizonytalan bev B4</t>
  </si>
  <si>
    <t>5. sor</t>
  </si>
  <si>
    <t>Részvény értékesítés (112)</t>
  </si>
  <si>
    <t xml:space="preserve">4. </t>
  </si>
  <si>
    <t>Teljesítés</t>
  </si>
  <si>
    <t>Eredeti előirányzat</t>
  </si>
  <si>
    <t>Módosított előirányzat</t>
  </si>
  <si>
    <t>2015. évi költségvetés egyenlege (Költségvetési egyenleg + Finanszírozási egyenleg)</t>
  </si>
  <si>
    <t>Mérlegben következő évet terhelő kötött tételek</t>
  </si>
  <si>
    <t>2. Mérlegben következő évet terhelő kötött tételek</t>
  </si>
  <si>
    <t>KÖTÖTT MARADVÁNY MINDÖSSZESEN</t>
  </si>
  <si>
    <t>Dunaharaszti Város Önkormányzat saját bevételeinek és a Stabilitási törvény 3. § (1) bekezdése szerinti adósságot keletkeztető ügyleteiből eredő fizetési kötelezettségeinek várható összege a költségvetési évet követő három évben (Áht. 29/A. §) ezer Ft-ban</t>
  </si>
  <si>
    <t>2017. év előirányzat</t>
  </si>
  <si>
    <t>2018. év előirányzat</t>
  </si>
  <si>
    <t>051 Ingatlan bérbeadás</t>
  </si>
  <si>
    <t>117TE értékesítés</t>
  </si>
  <si>
    <t>051 lakás</t>
  </si>
  <si>
    <t>II.</t>
  </si>
  <si>
    <t>Működési maradvány</t>
  </si>
  <si>
    <t>Felhalm.maradvány</t>
  </si>
  <si>
    <t>Maradvány összesen</t>
  </si>
  <si>
    <t>A/NEMZETI VAGYONBA TARTOZÓ BEFEKTETETT ESZKÖZÖK</t>
  </si>
  <si>
    <t>I. Immateriális javak</t>
  </si>
  <si>
    <t>1.1. Korlátozottan forgalomképes immateriális javak</t>
  </si>
  <si>
    <t>1.2. Forgalomképes immateriális javak</t>
  </si>
  <si>
    <t>II. Tárgyi eszközök</t>
  </si>
  <si>
    <t>1. Ingatlanok és a kapcsolódó vagyoni értékű jogok</t>
  </si>
  <si>
    <t>1.1.Forgalomképtelen ingatlanok és a kapcsolódó vagyoni értékű jogok</t>
  </si>
  <si>
    <t>1.2. Nemzetgazdasági szempontból kiemelt jelentőségű  ingatlanok és kapcsolódó vagyoni értékű jogok</t>
  </si>
  <si>
    <t>1.3. Korlátozottan forgalomképes ingatlanok és a kapcsolódó vagyoni értékű jogok</t>
  </si>
  <si>
    <t>1.4. Üzleti (forgalomképes) ingatlanok és a kapcsolódó vagyoni értékű jogok</t>
  </si>
  <si>
    <t>2. Gépek, berendezések, felszerelések, járművek</t>
  </si>
  <si>
    <t>2.1. Forgalomképtelen gépek, berendezések, felszerelések, járművek</t>
  </si>
  <si>
    <t>2.2. Nemzetgazdasági szempontból kiemelt jelentőségű gépek, berendezések, felszerelések, járművek</t>
  </si>
  <si>
    <t>2.3. Korlátozottan forgalomképes gépek, berendezések, felszerelések, járművek</t>
  </si>
  <si>
    <t>2.4. Üzleti (forgalomképes) gépek, berendezések, felszerelések, járművek</t>
  </si>
  <si>
    <t xml:space="preserve">3. Tenyészállatok </t>
  </si>
  <si>
    <t xml:space="preserve">3.1. Forgalomképtelen tenyészállatok </t>
  </si>
  <si>
    <t xml:space="preserve">3.2. Nemzetgazdasági szempontból kiemelt jelentőségű tenyészállatok </t>
  </si>
  <si>
    <t xml:space="preserve">3.3. Korlátozottan forgalomképes tenyészállatok </t>
  </si>
  <si>
    <t xml:space="preserve">3.4. Üzleti tenyészállatok </t>
  </si>
  <si>
    <t xml:space="preserve">4. Beruházások, felújítások </t>
  </si>
  <si>
    <t>4.1. Forgalomképtelen beruházások, felújítások</t>
  </si>
  <si>
    <t>4.2.  Nemzetgazdasági szempontból kiemelt jelentőségű beruházások, felújítások</t>
  </si>
  <si>
    <t>4.3. Korlátozottan forgalomképes  beruházások, felújítások</t>
  </si>
  <si>
    <t>4.4. Üzlet (forgalomképes) beruházások, felújítások</t>
  </si>
  <si>
    <t>5. Tárgyi eszközök értékhelyesbítése</t>
  </si>
  <si>
    <t>5.1. Forgalomképtelen tárgyi eszközök értékhelyesbítése</t>
  </si>
  <si>
    <t>5.2.  Nemzetgazdasági szempontból kiemelt jelentőségű tárgyi eszközök értékhelyesbítése</t>
  </si>
  <si>
    <t>5.3. Korlátozottan forgalomképes tárgyi eszközök értékhelyesbítése</t>
  </si>
  <si>
    <t>5.4. Üzlet (forgalomképes) tárgyi eszközök értékhelyesbítése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</si>
  <si>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</si>
  <si>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</si>
  <si>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</si>
  <si>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</si>
  <si>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forgalmoképes tartós részesedés</t>
  </si>
  <si>
    <t>1.4. Üzlet (forgalomképes) tartós részesedés</t>
  </si>
  <si>
    <t xml:space="preserve">2. Tartós hitelviszonyt megtestesítő értékpapír </t>
  </si>
  <si>
    <t xml:space="preserve">2.1. Forgalomképtelen tartós hitelviszonyt megtestesítő értékpapír </t>
  </si>
  <si>
    <t xml:space="preserve">2.2. Nemzetgazdasági szempontból kiemelt jelentőségű tartós hitelviszonyt megtestesítő értékpapír </t>
  </si>
  <si>
    <t xml:space="preserve">2.3. Korlátozottan forgalmoképes tartós hitelviszonyt megtestesítő értékpapír </t>
  </si>
  <si>
    <t xml:space="preserve">2.4. Üzleti (forgalomképes) tartós hitelviszonyt megtestesítő értékpapír </t>
  </si>
  <si>
    <t>3. Befektetett pénzügyi eszközök értékhelyesbítése</t>
  </si>
  <si>
    <t xml:space="preserve">3.1. Forgalomképtelen  befektetett pénzügyi eszközök értékhelyesbítése </t>
  </si>
  <si>
    <t xml:space="preserve">3.2. Nemzetgazdasági szempontból kiemelt jelentőségű befektetett pénzügyi eszközök értékhelyesbítése </t>
  </si>
  <si>
    <t xml:space="preserve">3.3. Korlátozottan forgalmoképes befektetett pénzügyi eszközök értékhelyesbítése </t>
  </si>
  <si>
    <t xml:space="preserve">3.4. Üzleti (forgalomképes) befektetett pénzügyi eszközök értékhelyesbítése </t>
  </si>
  <si>
    <t xml:space="preserve">IV. Koncesszióba, vagyonkezelésbe adott eszközök </t>
  </si>
  <si>
    <t>1. Koncesszióba, vagyonkezelésbe adott forgalomképtelen eszköz</t>
  </si>
  <si>
    <t>2. Koncesszióba, vagyonkezelésbe adott nemzetgazdasági szempontból kiemelt jelentőségű eszköz</t>
  </si>
  <si>
    <t>3. Koncesszióba, vagyonkezelésbe adott korlátozottan forgalomképes eszköz</t>
  </si>
  <si>
    <t>4. Koncesszióba, vagyonkezelésbe adott üzleti (forgalomképes) eszköz</t>
  </si>
  <si>
    <t>B/ NEMZETI VAGYONBA TARTOZÓ FORGÓESZKÖZÖK</t>
  </si>
  <si>
    <t>I. Készletek (forgalomképes)</t>
  </si>
  <si>
    <t xml:space="preserve">II. Értékpapírok </t>
  </si>
  <si>
    <t xml:space="preserve">C/ PÉNZESZKÖZÖK </t>
  </si>
  <si>
    <t>I. Hosszú lejáratú betétek</t>
  </si>
  <si>
    <t>II. Pénztárak, csekkek, betétkönyvek</t>
  </si>
  <si>
    <t xml:space="preserve">III. Forintszámlák </t>
  </si>
  <si>
    <t>IV. Devizaszámlák</t>
  </si>
  <si>
    <t>V. Idegen pénzeszközök</t>
  </si>
  <si>
    <t xml:space="preserve">D/ KÖVETELÉSEK  </t>
  </si>
  <si>
    <t xml:space="preserve">I. Költségvetési évben esedékes követelések </t>
  </si>
  <si>
    <t>II. Költségvetési évet követő évben esedékes követelések</t>
  </si>
  <si>
    <t>III. Követelés jellegű sajátos elszámolás</t>
  </si>
  <si>
    <t>E/ EGYÉB SAJÁTOS ESZKÖZOLDALI ELSZÁMOLÁSOK</t>
  </si>
  <si>
    <t>F/ AKTÍV IDŐBELI  ELHATÁROLÁSOK</t>
  </si>
  <si>
    <t>ESZKÖZÖK MINDÖSSZESEN</t>
  </si>
  <si>
    <t>G/ SAJÁT TŐKE</t>
  </si>
  <si>
    <t>I.  Nemzeti vagyon induláskori értéke</t>
  </si>
  <si>
    <t>II. Nemzeti vagyon változásai</t>
  </si>
  <si>
    <t>III. Egyéb eszközök induláskori értéke és változ.</t>
  </si>
  <si>
    <t>IV. Felhalmozott eredmény</t>
  </si>
  <si>
    <t>V. Eszközök értékhelyesbítésének forrása</t>
  </si>
  <si>
    <t>VI. Mérleg szerinti eredmény</t>
  </si>
  <si>
    <t>H/ KÖTELEZETTSÉGEK</t>
  </si>
  <si>
    <t xml:space="preserve">I. Költségvetési évben esedékes kötelezettségek  </t>
  </si>
  <si>
    <t>II. Költségvetési évet követően esedékes kötelezettségek</t>
  </si>
  <si>
    <t>III. Kötelezettség jellegű sajátos elszámolások</t>
  </si>
  <si>
    <t xml:space="preserve">FORRÁSOK MINDÖSSZESEN </t>
  </si>
  <si>
    <t>Az átlagos napi forgalom változásának elérése ( 149% )</t>
  </si>
  <si>
    <r>
      <t xml:space="preserve">Az elért </t>
    </r>
    <r>
      <rPr>
        <b/>
        <sz val="12"/>
        <rFont val="Garamond"/>
        <family val="1"/>
        <charset val="238"/>
      </rPr>
      <t>napi forgalom növekedésének elérése (156,47 E/nap)</t>
    </r>
  </si>
  <si>
    <r>
      <t xml:space="preserve">Megépült út </t>
    </r>
    <r>
      <rPr>
        <b/>
        <sz val="12"/>
        <rFont val="Garamond"/>
        <family val="1"/>
        <charset val="238"/>
      </rPr>
      <t>hosszának  ( 1,785 km)</t>
    </r>
    <r>
      <rPr>
        <sz val="12"/>
        <rFont val="Garamond"/>
        <family val="1"/>
        <charset val="238"/>
      </rPr>
      <t xml:space="preserve"> </t>
    </r>
  </si>
  <si>
    <t>5. év</t>
  </si>
  <si>
    <t>4. év</t>
  </si>
  <si>
    <t>3. év</t>
  </si>
  <si>
    <t>2. év</t>
  </si>
  <si>
    <t>1. év</t>
  </si>
  <si>
    <r>
      <t xml:space="preserve">Projektmenedzser: </t>
    </r>
    <r>
      <rPr>
        <b/>
        <sz val="10"/>
        <rFont val="Arial"/>
        <family val="2"/>
        <charset val="238"/>
      </rPr>
      <t>Corex Projektfejelesztési Kft.</t>
    </r>
  </si>
  <si>
    <r>
      <t xml:space="preserve">Projekt azonosítószáma: </t>
    </r>
    <r>
      <rPr>
        <b/>
        <sz val="12"/>
        <rFont val="Garamond"/>
        <family val="1"/>
        <charset val="238"/>
      </rPr>
      <t>KMOP-2.1.1/B-09-2009-0013</t>
    </r>
  </si>
  <si>
    <r>
      <t>Projekt címe.</t>
    </r>
    <r>
      <rPr>
        <b/>
        <u/>
        <sz val="12"/>
        <rFont val="Garamond"/>
        <family val="1"/>
        <charset val="238"/>
      </rPr>
      <t>„Dunaharaszti 5 utcájának szilárd burkolattal való ellátása és csapadékvíz elvezetésének kialakítása”</t>
    </r>
  </si>
  <si>
    <r>
      <t>Projekt címe.</t>
    </r>
    <r>
      <rPr>
        <b/>
        <u/>
        <sz val="12"/>
        <rFont val="Garamond"/>
        <family val="1"/>
        <charset val="238"/>
      </rPr>
      <t>„Dunaharaszti 18 belterületi utcájának szilárd burkolattal való ellátása és csapadékvíz – elvezetésének kialakítása”</t>
    </r>
  </si>
  <si>
    <r>
      <t xml:space="preserve">Projekt azonosítószáma: </t>
    </r>
    <r>
      <rPr>
        <b/>
        <sz val="12"/>
        <rFont val="Garamond"/>
        <family val="1"/>
        <charset val="238"/>
      </rPr>
      <t>KMOP-2.1.1/B-2007-0003</t>
    </r>
  </si>
  <si>
    <r>
      <t xml:space="preserve">Megépült út </t>
    </r>
    <r>
      <rPr>
        <b/>
        <sz val="12"/>
        <rFont val="Garamond"/>
        <family val="1"/>
        <charset val="238"/>
      </rPr>
      <t>hosszának  (8.882 m)</t>
    </r>
    <r>
      <rPr>
        <sz val="12"/>
        <rFont val="Garamond"/>
        <family val="1"/>
        <charset val="238"/>
      </rPr>
      <t xml:space="preserve"> </t>
    </r>
  </si>
  <si>
    <r>
      <t xml:space="preserve">Az elért </t>
    </r>
    <r>
      <rPr>
        <b/>
        <sz val="12"/>
        <rFont val="Garamond"/>
        <family val="1"/>
        <charset val="238"/>
      </rPr>
      <t>napi forgalom szám növekedésének elérése (126 E/nap)</t>
    </r>
  </si>
  <si>
    <r>
      <t xml:space="preserve">Az </t>
    </r>
    <r>
      <rPr>
        <b/>
        <sz val="12"/>
        <rFont val="Garamond"/>
        <family val="1"/>
        <charset val="238"/>
      </rPr>
      <t>elérési idő rövidülésének (15 perc)</t>
    </r>
  </si>
  <si>
    <r>
      <t xml:space="preserve">a megnövekedett </t>
    </r>
    <r>
      <rPr>
        <b/>
        <sz val="12"/>
        <rFont val="Times New Roman"/>
        <family val="1"/>
        <charset val="238"/>
      </rPr>
      <t>közösségi közlekedéssel érintettek számának  (4.696 fő)</t>
    </r>
  </si>
  <si>
    <r>
      <t>Projekt címe:</t>
    </r>
    <r>
      <rPr>
        <b/>
        <u/>
        <sz val="12"/>
        <rFont val="Garamond"/>
        <family val="1"/>
        <charset val="238"/>
      </rPr>
      <t xml:space="preserve"> "Pest megyei településközpontok fejlesztése – Integrált településfejlesztés Pest megyében  Dunaharaszti Városközpont attraktivitásának növelése új funkciók kialakításával"</t>
    </r>
  </si>
  <si>
    <r>
      <t xml:space="preserve">Projekt azonosítószáma: </t>
    </r>
    <r>
      <rPr>
        <b/>
        <sz val="12"/>
        <rFont val="Garamond"/>
        <family val="1"/>
        <charset val="238"/>
      </rPr>
      <t>KMOP-5.2.1/B-2f-2009-0011</t>
    </r>
  </si>
  <si>
    <t>Ssz.</t>
  </si>
  <si>
    <t>Indikátor neve</t>
  </si>
  <si>
    <t>Indikátor típus</t>
  </si>
  <si>
    <t>Mérték-egység</t>
  </si>
  <si>
    <t>Bázisérték</t>
  </si>
  <si>
    <t>projektzáráskor</t>
  </si>
  <si>
    <t>a projekt fenntartási időszakban</t>
  </si>
  <si>
    <t>Terv</t>
  </si>
  <si>
    <t>Tény</t>
  </si>
  <si>
    <t>Kötelező adatszolgáltatás hatálya alá tartozó indikátorok</t>
  </si>
  <si>
    <t>Városrehabilitációs beavatkozások által érintett terület nagysága</t>
  </si>
  <si>
    <t>output</t>
  </si>
  <si>
    <t>ha</t>
  </si>
  <si>
    <t>Támogatással érintett lakosok száma a rehabilitált településrészeken</t>
  </si>
  <si>
    <t>fő</t>
  </si>
  <si>
    <t>A fejlesztés nyomán újonnan kialakított közösségi szolgáltatások száma a projekt által érintett akcióterületen</t>
  </si>
  <si>
    <t>eredmény</t>
  </si>
  <si>
    <t>db</t>
  </si>
  <si>
    <t>A támogatással érintett területen telephellyel rendelkező vállalkozások számának növekedése</t>
  </si>
  <si>
    <t>Teremtett munkahelyek száma</t>
  </si>
  <si>
    <t>Teremtett munkahelyek száma – nők</t>
  </si>
  <si>
    <t>Teremtett munkahelyek száma – hátrányos helyzetűek</t>
  </si>
  <si>
    <t>Megtartott munkahelyek száma</t>
  </si>
  <si>
    <t>Új települési funkciók betelepedése / funkcióerősítés a fejlesztéssel érintett területen</t>
  </si>
  <si>
    <t>A támogatott projektek eredményeként elért energia megtakarítás</t>
  </si>
  <si>
    <t>TJ</t>
  </si>
  <si>
    <t>Forgalomcsillapított zónák nagysága</t>
  </si>
  <si>
    <t>m2</t>
  </si>
  <si>
    <t>Egyéb szakmai indikátorok</t>
  </si>
  <si>
    <t>A fejlesztéssel érintett épületek nagysága</t>
  </si>
  <si>
    <t>A fejlesztéssel érintett zöldfelületek nagysága</t>
  </si>
  <si>
    <t xml:space="preserve">Felújított közterületek nagysága  </t>
  </si>
  <si>
    <t>A fejlesztéssel nyomán létrehozott közösségi szintterületek nagysága</t>
  </si>
  <si>
    <t>Akadálymentesített épületek száma</t>
  </si>
  <si>
    <t>Azbesztmentesített épületek száma</t>
  </si>
  <si>
    <t xml:space="preserve">A fejlesztés nyomán létrehozott munkavégzésre használt szintterületek nagysága </t>
  </si>
  <si>
    <t>A városrehabilitációs beavatkozások által érintett területen elkövetett bűncselekmények száma</t>
  </si>
  <si>
    <t>d</t>
  </si>
  <si>
    <t>Üzlethelyiségek kihasználtsága a városrehabilitációs beavatkozások által érintett területen</t>
  </si>
  <si>
    <t>A fejlesztés eredményeként indukált magánerős beruházások nagysága</t>
  </si>
  <si>
    <t>Ft</t>
  </si>
  <si>
    <t>Helyi társadalmi akciókban résztvevők száma</t>
  </si>
  <si>
    <t>Helyi foglalkoztatási kezdeményezésekbe bevont hátrányos helyzetű emberek száma</t>
  </si>
  <si>
    <t>A megvalósult fejlesztéssel elégedett lakosság aránya</t>
  </si>
  <si>
    <t>Fejlesztéssel érintett/Fejlesztett udvarok száma (db)</t>
  </si>
  <si>
    <t>Fejlesztett nevelési-oktatási intézményekben tanuló diákok száma (fő)</t>
  </si>
  <si>
    <t>Akadálymentes épített vagy felújított helyiségek száma (db)</t>
  </si>
  <si>
    <r>
      <t>Projekt címe.</t>
    </r>
    <r>
      <rPr>
        <b/>
        <u/>
        <sz val="12"/>
        <rFont val="Garamond"/>
        <family val="1"/>
        <charset val="238"/>
      </rPr>
      <t xml:space="preserve"> „A dunaharaszti Mese Óvoda bővítése és megfelelő eszközellátásának biztosítása”</t>
    </r>
  </si>
  <si>
    <r>
      <t xml:space="preserve">Projekt azonosítószáma: </t>
    </r>
    <r>
      <rPr>
        <b/>
        <sz val="12"/>
        <rFont val="Garamond"/>
        <family val="1"/>
        <charset val="238"/>
      </rPr>
      <t>KMOP-4.6.1/B_2-2008-0173</t>
    </r>
  </si>
  <si>
    <r>
      <t xml:space="preserve">Projekt menedzser: </t>
    </r>
    <r>
      <rPr>
        <b/>
        <sz val="12"/>
        <rFont val="Garamond"/>
        <family val="1"/>
        <charset val="238"/>
      </rPr>
      <t>Corex Projektfejlesztési Kft.</t>
    </r>
  </si>
  <si>
    <t>Indikátor</t>
  </si>
  <si>
    <t>A projekt fenntartás végére várható érték</t>
  </si>
  <si>
    <t>A közoktatási intézmények fejlesztéssel érintett telephelyeinek száma (db)</t>
  </si>
  <si>
    <t>A program hatására teremtett főállású új munkahelyeken foglalkoztatott hátrányos helyzetűek száma (fő)</t>
  </si>
  <si>
    <t>A támogatott intézményekben ellátott/ tanuló gyerekek átlagos létszámának összege- ebből saját nevelési igényű (fő)</t>
  </si>
  <si>
    <t>A fejlesztett nevelési-oktatási intézményben tanuló hátrányos helyzetű gyermekek száma (fő)</t>
  </si>
  <si>
    <t>A létrehozott számítógépes munkaállomások száma (db)</t>
  </si>
  <si>
    <t>Teremtett munkahelyek száma (nők; fő)</t>
  </si>
  <si>
    <t>Teremtett új munkahelyek száma (Átlagos statisztikai létszám változás) (fő)</t>
  </si>
  <si>
    <t>2016. ktgvetében szerepel</t>
  </si>
  <si>
    <t>2016. ktgvetében rögzítendő szabad tétel 13. d űrlap</t>
  </si>
  <si>
    <t>2016. ktgvetében rögzítendő kötött tétel</t>
  </si>
  <si>
    <t>Maradvány</t>
  </si>
  <si>
    <t>kötött maradvány</t>
  </si>
  <si>
    <t>Összes maradvány</t>
  </si>
  <si>
    <t>I/ KINCSTÁRI SZÁMLAVEZETÉSSEL KAPCSOLATOS ELSZÁMOLÁS</t>
  </si>
  <si>
    <t>J/ PASSZÍV IDŐBELI ELHATÁROLÁSOK</t>
  </si>
  <si>
    <t>EGYÉB SAJÁTOS FORRÁSOLDALI ELSZÁMOLÁSOK</t>
  </si>
  <si>
    <t>Dunaharaszti Város Önkormányzata 2016. évi költségvetésének végrehajtásáról szóló beszámoló (zárszámadás) egyes mellékletei, tájékoztató táblái és függelékei</t>
  </si>
  <si>
    <t>Pénzeszközök változása  2016. évben</t>
  </si>
  <si>
    <t>Dunaharaszti Önkormányzat 2016. december 31-i vagyonkimutatása részletezése</t>
  </si>
  <si>
    <t>Össznévérték 2015.december 31.            (Előző év)</t>
  </si>
  <si>
    <t>Össznévérték                2016. december 31.</t>
  </si>
  <si>
    <t>Könyvsz.érték 2016. december 31.</t>
  </si>
  <si>
    <t>0</t>
  </si>
  <si>
    <t>0,000….</t>
  </si>
  <si>
    <t>Nem teljesített törlesztések 
2016. december 31.</t>
  </si>
  <si>
    <t xml:space="preserve">Záró állomány : 2016.12.31.        </t>
  </si>
  <si>
    <t>2013.07.03-2015.</t>
  </si>
  <si>
    <t>2014.12.10-2015.</t>
  </si>
  <si>
    <t>* konszolidált összeg</t>
  </si>
  <si>
    <t>2014.*</t>
  </si>
  <si>
    <t>A Dunaharaszti Önkormányzat több éves kihatással járó kiemelt  feladatai éves bontásban (ezer Ft)</t>
  </si>
  <si>
    <t>Origo Frigo Kft. Városi Köztemető hűtőberendezések karbantartása</t>
  </si>
  <si>
    <t>2016-tól a lejáratig fizetendő összeg összesen</t>
  </si>
  <si>
    <t>2019. év és azt követő években</t>
  </si>
  <si>
    <t>2016. tény</t>
  </si>
  <si>
    <t>2016.  tény</t>
  </si>
  <si>
    <t>DMTK sportpálya rezsi kiadások támogatása maradvány</t>
  </si>
  <si>
    <t xml:space="preserve"> 2017. évi eredeti előirányzatok között maradvány igénybevételként szerepel</t>
  </si>
  <si>
    <t>DMTK támogatás maradvány terembérlet 2014.</t>
  </si>
  <si>
    <t>DMTK támogatás maradvány  terembérlet 2015.</t>
  </si>
  <si>
    <t>DMTK támogatás maradvány terembérlet  2016.</t>
  </si>
  <si>
    <t>Dunaharaszti Roma Nemzetiségi Önkormányzat 2016. II. félévi támogatás</t>
  </si>
  <si>
    <t>Méltányosság étkeztetés 2016. 12. hó</t>
  </si>
  <si>
    <t>Erdőgazdálkodási tevékenység</t>
  </si>
  <si>
    <t>Dunaharaszti családi házak rágcsálóírtása</t>
  </si>
  <si>
    <t>Zöldterületek karbantartásának közbeszerzési hirdetési díja</t>
  </si>
  <si>
    <t>Vásárhelyi közkifolyó vízdíja 2016. 11. hó</t>
  </si>
  <si>
    <t>Önkormányzati rendezvényszervezés 2016. 12.hó</t>
  </si>
  <si>
    <t>Laffert-kúria szemétdíj 11. hó</t>
  </si>
  <si>
    <t>Laffert-kúria rendezvényszervezés 11.hó</t>
  </si>
  <si>
    <t>Laffert-kúria vízdíj 11. hó</t>
  </si>
  <si>
    <t>Laffert- kúria programok előkészítése 12.hó</t>
  </si>
  <si>
    <t>Temető vízdíj 11.hó</t>
  </si>
  <si>
    <t>Karácsonyi díszvilágítás szerelés</t>
  </si>
  <si>
    <t>Hunyadi János Általános Iskola alsó tagozat vízdíj 11.hó</t>
  </si>
  <si>
    <t>Hunyadi János Általános Iskola alsó tagozat hődíj 10-11.hó</t>
  </si>
  <si>
    <t>Hunyadi János Általános Iskola alsó tagozat gáz alapdíj 11.hó</t>
  </si>
  <si>
    <t>II. Rákóczi Ferenc Általános Iskola alsó tagozat szemétdíj 11.hó</t>
  </si>
  <si>
    <t>II. Rákóczi Ferenc Általános Iskola alsó tagozat szőnyegbérlés 12. hó</t>
  </si>
  <si>
    <t>II. Rákóczi Ferenc Általános Iskola alsó tagozat  vízdíj 11. hó</t>
  </si>
  <si>
    <t>II. Rákóczi Ferenc Általános Iskola  alsó tagozat vízdíj 11.hó</t>
  </si>
  <si>
    <t>II. Rákóczi Ferenc Általános Iskola alsó tagozat hődíj 11.hó</t>
  </si>
  <si>
    <t>II. Rákóczi Ferenc Általános Iskola alsó tagozat gáz alapdíj 11.hó</t>
  </si>
  <si>
    <t>Kőrösi Csoma Sándor Általános Iskola alsó tagozat szemétdíj 11.hó</t>
  </si>
  <si>
    <t>Kőrösi Csoma Sándor Általános Iskola alsó tagozat vízdíj 11.hó</t>
  </si>
  <si>
    <t>Kőrösi Csoma Sándor Általános Iskola alsó tagozat hődíj 11.hó</t>
  </si>
  <si>
    <t>Kőrösi Csoma Sándor Általános Iskola alsó tagozat gáz alapdíj 11.hó</t>
  </si>
  <si>
    <t>Hunyadi János Általános Iskola felső tagozat szemétdíj 11.hó</t>
  </si>
  <si>
    <t>Hunyadi János Általános Iskola felső tagozat hődíj 11.hó</t>
  </si>
  <si>
    <t>Hunyadi János Általános Iskola felső tagozat gáz alapdíj 11.hó</t>
  </si>
  <si>
    <t>II. Rákóczi Ferenc Általános Iskola felső tagozat fűtés karbantartás</t>
  </si>
  <si>
    <t>II. Rákóczi Ferenc Általános Iskola felső tagozat szemétdíj 11.hó</t>
  </si>
  <si>
    <t>II. Rákóczi Ferenc Általános Iskola felső tagozat szőnyegbérlés 12. hó</t>
  </si>
  <si>
    <t>II. Rákóczi Ferenc Általános Iskola felső tagozat  vízdíj 11. hó</t>
  </si>
  <si>
    <t>II. Rákóczi Ferenc Általános Iskola felső tagozat hődíj 11.hó</t>
  </si>
  <si>
    <t>II. Rákóczi Ferenc Általános Iskola felső tagozat gáz alapdíj 11.hó</t>
  </si>
  <si>
    <t>Baktay Ervin Gimnázium konyha szemétdíj 11.hó</t>
  </si>
  <si>
    <t>Baktay Ervin Gimnázium gáz alapdíj 11.hó</t>
  </si>
  <si>
    <t>Baktay Ervin Gimnázium hődíj 11.hó</t>
  </si>
  <si>
    <t>Pest Megyei Pedagógiai Szakszolgálat Szigetszentmiklósi Tagintézménye Dunaharaszti Telephelye vízdíj 11.hó</t>
  </si>
  <si>
    <t>Dunaharaszti Alapfokú Művészetoktatási Iskola szemétdíj 11.hó</t>
  </si>
  <si>
    <t>Dunaharaszti Alapfokú Művészetoktatási Iskola gáz alapdíj 11.hó</t>
  </si>
  <si>
    <t>Dunaharaszti Alapfokú Művészetoktatási Iskola hődíj 11.hó</t>
  </si>
  <si>
    <t>Kisposta vízdíj 11.hó</t>
  </si>
  <si>
    <t>Kisposta áramdíj 2016.11.23.-12.22.</t>
  </si>
  <si>
    <t>Kisposta üzemeltetés 12.hó</t>
  </si>
  <si>
    <t>Hunyadi János Általános Iskola Fő út 268. szemétdíj 11.hó</t>
  </si>
  <si>
    <t>Hunyadi János Általános Iskola Fő út 268. hődíj 11.hó</t>
  </si>
  <si>
    <t>Hunyadi János Általános Iskola Fő út 268. gáz alapdíj 11.hó</t>
  </si>
  <si>
    <t>Hunyadi János Általános Iskola Fő út 268. vízdíj 11.hó</t>
  </si>
  <si>
    <t>MÁV-alsó területrendezés vázrajz készítés</t>
  </si>
  <si>
    <t>Továbbszámlázott szemétdíj 11.hó Baktay Ervin Gimnázium</t>
  </si>
  <si>
    <t xml:space="preserve">Továbbszámlázott vízdíj 11.hó Gyárköz u. </t>
  </si>
  <si>
    <t xml:space="preserve">Továbbszámlázott vízdíj 11.hó Kőrösi Csoma Sándor Általános Iskola </t>
  </si>
  <si>
    <t xml:space="preserve">Továbbszámlázott hődíj 11.hó Kőrösi Csoma Sándor Általános Iskola </t>
  </si>
  <si>
    <t>Továbbszámlázott gáz alapdíj 11.hó Baktay Ervin Gimnázium</t>
  </si>
  <si>
    <t>Továbbszámlázott hődíj 11.hó Baktay Ervin Gimnázium</t>
  </si>
  <si>
    <t>Baktay tér vízdíj 11.hó</t>
  </si>
  <si>
    <t>Uzsoki tűzcsap vízdíj 11.hó</t>
  </si>
  <si>
    <t>Vásárhelyi közkifolyó vízdíja 2016. 11. hó késedelmi kamat</t>
  </si>
  <si>
    <t>Némedi közkifolyók vízdíja 11.hó</t>
  </si>
  <si>
    <t>Fő út 202. tűzcsap vízdíj 11.hó</t>
  </si>
  <si>
    <t>Fő út 244. tűzcsap vízdíj 11.hó</t>
  </si>
  <si>
    <t>Lehmann közkifolyó vízdíja 11.hó</t>
  </si>
  <si>
    <t>Andrássy u. 47. tűzcsap vízdíj 11.hó</t>
  </si>
  <si>
    <t>Sziget u. tűzcsap vízdíj 11.hó</t>
  </si>
  <si>
    <t>Andrássy tűzcsap vízdíj 11.hó</t>
  </si>
  <si>
    <t>Damjanich tűzcsap vízdíj 11. hó</t>
  </si>
  <si>
    <t>Lass Torres biofilter 11.hó</t>
  </si>
  <si>
    <t>Csontváry játszótér vízdíj 11.hó</t>
  </si>
  <si>
    <t>Kandó Park vízdíj 11.hó</t>
  </si>
  <si>
    <t>Szekér u. játszótér vízdíj 11.hó</t>
  </si>
  <si>
    <t>Rendőrség szemétdíj 11.hó</t>
  </si>
  <si>
    <t>Dunaharaszti településfejlesztési és településrendezési eszközeinek elkészítése</t>
  </si>
  <si>
    <t>Szennyvíz hálózat felújítás 2016. évi előlege</t>
  </si>
  <si>
    <t>2016. évben befolyt 2017. évi állami támogatás előlege (nettó finanszírozás)</t>
  </si>
  <si>
    <t>2017. évi eredeti előirányzatok között maradvány igénybevételként szerepel</t>
  </si>
  <si>
    <t>Bölcsőde étkeztetés gáz alapdíj 11.hó</t>
  </si>
  <si>
    <t>Bölcsőde étkeztetés hulladékszállítás 11.hó</t>
  </si>
  <si>
    <t>Bölcsőde étkeztetés étellift karbantartás 11.hó</t>
  </si>
  <si>
    <t>Bölcsőde gáz alapdíj 11.hó</t>
  </si>
  <si>
    <t>Bölcsőde hulladékszállítás 11.hó</t>
  </si>
  <si>
    <t>Bölcsőde élelmezésvezetői tanfolyam</t>
  </si>
  <si>
    <t>Bölcsőde számítógép üzemeltetés 12.hó</t>
  </si>
  <si>
    <t>Idősek nappali ellátása feladaton hulladék szállítás 10.hó</t>
  </si>
  <si>
    <t>Idősek nappali ellátása feladaton fodrász</t>
  </si>
  <si>
    <t>Idősek nappali ellátása feladaton gázkészülék karbantartás IV. negyedév</t>
  </si>
  <si>
    <t>Házi jelzőrendszer bérleti díj 12.hó</t>
  </si>
  <si>
    <t>Damjanich u. 32. orvosi rendelő hulladék szállítás 10.hó</t>
  </si>
  <si>
    <t>Házi orvosi szolgálat gáz alapdíj 11.hó</t>
  </si>
  <si>
    <t>Gyermekorvosi rendelő hulladék szállítás 10. hó</t>
  </si>
  <si>
    <t>Gyermekorvosi rendelő lift karbantartás 11.hó</t>
  </si>
  <si>
    <t>Egyéb járóbeteg ellátás feladaton hulladék szállítás 10.hó</t>
  </si>
  <si>
    <t>Egyéb járóbeteg ellátás feladaton gáz alapdíj 11.hó</t>
  </si>
  <si>
    <t>Egészségügyi labor feladaton  hulladék szállítás 10.hó</t>
  </si>
  <si>
    <t>Egészségügyi labor feladaton gáz alapdíj 11.hó</t>
  </si>
  <si>
    <t>Fizikotherápiás szolgáltatás  hulladék szállítás 10.hó</t>
  </si>
  <si>
    <t>Fizikotherápiás szolgáltatás gáz alapdíj 11.hó</t>
  </si>
  <si>
    <t>Család és nővédelem egészségügyi gondozás  hulladék szállítás 10.hó</t>
  </si>
  <si>
    <t>Óvodai intézményi étkeztetés feladaton élelmezési program felmondás</t>
  </si>
  <si>
    <t>Iskolai intézményi ékteztetés feladaton  élelmezési program felmondás</t>
  </si>
  <si>
    <t>Iskolai intézményi ékteztetés feladaton Eötvös u. konyha hulladékszállítás 10.hó</t>
  </si>
  <si>
    <t>Iskolai intézményi ékteztetés feladaton Rákóczi konyha hulladék szállítás 10.hó</t>
  </si>
  <si>
    <t>Iskolai intézményi ékteztetés feladaton Földváry u. konyha hulladék szállítás 10.hó</t>
  </si>
  <si>
    <t>Iskolai intézményi ékteztetés feladaton  csatorna parti konyha hulladék szállítás 10.hó</t>
  </si>
  <si>
    <t>Gimnáziumi intézményi étkeztetés feladaton élelmezési program felmondás</t>
  </si>
  <si>
    <t>Munkahelyi étkeztetés feladaton élelmezési program felmondás</t>
  </si>
  <si>
    <t>Továbbszámlázás Szivárvány konyha hulladékszállítás 10. hó</t>
  </si>
  <si>
    <t>Továbbszámlázás Szivárvány konyha gázdíj 11.hó</t>
  </si>
  <si>
    <t>Mese Óvoda hulladékszállítás 10.hó</t>
  </si>
  <si>
    <t>Mese Óvoda hulladékszállítás 11.hó</t>
  </si>
  <si>
    <t>Mese Óvoda gáz alapdíj 11.hó</t>
  </si>
  <si>
    <t>Mese Óvoda tűz és munkabiztonsági szaktanácsadás 12. hó</t>
  </si>
  <si>
    <t>Mese Óvoda számítógép üzemeltetés 12.hó</t>
  </si>
  <si>
    <t>Napsugár Óvoda hulladékszállítás 10. hó</t>
  </si>
  <si>
    <t>Napsugár Óvoda hulladékszállítás 11. hó</t>
  </si>
  <si>
    <t>Napsugár Óvoda tűz és munkabiztonsági szaktanácsadás 12. hó</t>
  </si>
  <si>
    <t>Napsugár Óvoda vízdíj</t>
  </si>
  <si>
    <t>Napsugár Óvoda gázdíj</t>
  </si>
  <si>
    <t>Napsugár Óvoda számítógép üzemeltetés</t>
  </si>
  <si>
    <t>Továbbszámlázott postaköltség 2016.12.01-2016.12.15.</t>
  </si>
  <si>
    <t>Továbbszámlázott szemétszállítás 2016.10.01.-2016.10.31.</t>
  </si>
  <si>
    <t xml:space="preserve">Továbbszámlázott szemétszállítás 2016.11.01.-2016.11.30. </t>
  </si>
  <si>
    <t xml:space="preserve">Anyakönyvi feladaton postaköltség 2016.12.01-2016.12.15. </t>
  </si>
  <si>
    <t xml:space="preserve">Anyakönyvi feladaton állami gondozási díj 60% 2016. IV. negyedév  </t>
  </si>
  <si>
    <t xml:space="preserve">Anyakönyvi feladaton szemétszállítás 2016.10.01.-2016.10.31. </t>
  </si>
  <si>
    <t xml:space="preserve">Anyakönyvi feladaton szemétszállítás 2016.11.01.-2016.11.30. </t>
  </si>
  <si>
    <t>Anyakönyvi feladaton 2016. decemberi számítógép üzemeltetés</t>
  </si>
  <si>
    <t>Anyakönyvi feladaton gáz alapdíj 2016.11.01.-2016.11.30.</t>
  </si>
  <si>
    <t>Adóügyi feladaton 2016. decemberi számítógép üzemeltetés</t>
  </si>
  <si>
    <t>Hétszínvirág Óvoda hulladékszállítás 10.hó</t>
  </si>
  <si>
    <t>Hétszínvirág Óvoda légtechnikai berendezés javítása</t>
  </si>
  <si>
    <t>Hétszínvirág Óvoda duguláselhárítás</t>
  </si>
  <si>
    <t>Hétszínvirág Óvoda számítógép üzemeltetés 12.hó</t>
  </si>
  <si>
    <t>Hétszínvirág Óvoda tűz- és munkabiztonság 12.hó</t>
  </si>
  <si>
    <t>Százszorszép Óvoda hulladékszállítás 10.hó</t>
  </si>
  <si>
    <t>Százszorszép Óvoda számítógép üzemeltetés 12.hó</t>
  </si>
  <si>
    <t>Százszorszép Óvoda gázdíj 2016.11.19-12.18.</t>
  </si>
  <si>
    <t>Szivárvány Óvoda hulladékszállítás 10.hó</t>
  </si>
  <si>
    <t>Szivárvány  Óvoda számítógép üzemeltetés 12.hó</t>
  </si>
  <si>
    <t>Gyermekjóléti szolgáltatás hulladékszállítás 10. hó</t>
  </si>
  <si>
    <t>Gyermekjóléti szolgáltatás hulladékszállítás 11. hó</t>
  </si>
  <si>
    <t>Gyermekjóléti szolgáltatás tűz és munkabiztonsági tanácsadás 12. hó</t>
  </si>
  <si>
    <t>Gyermekjóléti szolgáltatás gázdíj 2016.11.14.-2016.12.13.</t>
  </si>
  <si>
    <t>Gyermekjóléti szolgáltatás vízdíj 11.hó</t>
  </si>
  <si>
    <t>Családsegítés hulladékszállítás 10.hó</t>
  </si>
  <si>
    <t>Családsegítés hulladékszállítás 11.hó</t>
  </si>
  <si>
    <t>Családsegítés szolgáltatás tűz és munkabiztonsági tanácsadás 12. hó</t>
  </si>
  <si>
    <t>Családsegítés szolgáltatás gázdíj</t>
  </si>
  <si>
    <t>Családsegítés szolgáltatás vízdíj</t>
  </si>
  <si>
    <t>Helyettes szülőknél elhelyezettek ellátása feladaton ellátmány</t>
  </si>
  <si>
    <t>Szünidei étkeztetés 12.hó</t>
  </si>
  <si>
    <t>Továbbszámlázás gázdíj 2016.11.14.-2016.12.13.</t>
  </si>
  <si>
    <t>Továbbszámlázás vízdíj 11.hó.</t>
  </si>
  <si>
    <t>Könyvtári szolgáltatások szemétszállítás 10.hó</t>
  </si>
  <si>
    <t>Könyvtári szolgáltatások tűz és munkabiztonság 12. hó</t>
  </si>
  <si>
    <t>Könyvtári szolgáltatások postaköltség 12.hó</t>
  </si>
  <si>
    <t>Könyvtári szolgáltatások vízdíj 11.hó</t>
  </si>
  <si>
    <t>Könyvtári szolgáltatások gázdíj 2016.11.17.-2016.12.16.</t>
  </si>
  <si>
    <t>Közművelődési tevékenység gázdíj 2016.11.19.-2016.12.18.</t>
  </si>
  <si>
    <t>Közművelődési tevékenység  tűz és munkabiztonság 12. hó</t>
  </si>
  <si>
    <t>Közművelődési tevékenység szemétszállítás 10.hó</t>
  </si>
  <si>
    <t>Levendula u. útépítés</t>
  </si>
  <si>
    <t>2017. évi költségvetésben 2017. évben megvalósítható halasztott tételek</t>
  </si>
  <si>
    <t>Zágoni u. útépítés</t>
  </si>
  <si>
    <t>Kazsala u. útépítés</t>
  </si>
  <si>
    <t>Zsálya u. útépítés</t>
  </si>
  <si>
    <t>Járdaépítés</t>
  </si>
  <si>
    <t>Közterületi kamerák cseréje, fejlesztése</t>
  </si>
  <si>
    <t>Temető betonkerítés építése</t>
  </si>
  <si>
    <t>Egyházak eszközfejlesztésének támogatása (Dunaharaszti Református Egyházközség lelkész lakás és gyülekezeti ház felújítása)</t>
  </si>
  <si>
    <t>Sportcsarnok elektromos műszaki ellenőrzés</t>
  </si>
  <si>
    <t>Hátul a beruházási táblában halasztottként szerepel, de a halasztott összesenben nem szerepel. (213 részgazda)</t>
  </si>
  <si>
    <t xml:space="preserve">DMTK szakosztályainak működési célú támogatása </t>
  </si>
  <si>
    <t xml:space="preserve">DMTK sportpálya rezsi kiadások támogatása </t>
  </si>
  <si>
    <t xml:space="preserve">DMTK szakosztályainak működési célú támogatása átvállalt terembérlet Művelődési Ház és intézmények  </t>
  </si>
  <si>
    <t>DMTK Pályázati önrész</t>
  </si>
  <si>
    <t>DMTK Pályázati önerő (labdarúgás)</t>
  </si>
  <si>
    <t>Helyi tömegközlekedés támogatása (alapfeladat és éjszakai járat)</t>
  </si>
  <si>
    <t>Bolgár Nemzetiségi Önkormányzat támogatása</t>
  </si>
  <si>
    <t>Német Nemzetiség Önkormányzat támogatása</t>
  </si>
  <si>
    <t>Heimatland Harast Alapítvány támogatása</t>
  </si>
  <si>
    <t>Német Ifjúsági Hagyományőrző Egyesület Dunaharaszti támogatása</t>
  </si>
  <si>
    <t>Roma Nemzetiségi Önkormányzat támogatása</t>
  </si>
  <si>
    <t>Tartósan beteg felnőtt ápolási díja, méltányossági ápolási díj</t>
  </si>
  <si>
    <t>Települési támogatás</t>
  </si>
  <si>
    <t>Települési támogatás: Időskorúak és gondnokoltak karácsonyi csomagja és rendezvényeik</t>
  </si>
  <si>
    <t>Krízishelyzet és egyéb szociális célú támogatás</t>
  </si>
  <si>
    <t>Szemétdíj átvállalás rászorultsági alapon</t>
  </si>
  <si>
    <t>Köztemetés</t>
  </si>
  <si>
    <t>Rendszeres települési támogatás gyógyszerköltségre</t>
  </si>
  <si>
    <t xml:space="preserve">Gyermekétkeztetés támogatása méltányossági alapon, tartósan beteg gyermekek étkeztetési támogatása </t>
  </si>
  <si>
    <t>Hátrányos helyzetű gyermekek üdültetése és rendezvényeik támogatása</t>
  </si>
  <si>
    <t>Erdőállomány kezelés és fenntartás</t>
  </si>
  <si>
    <t>Zöldterület kezelés</t>
  </si>
  <si>
    <t>Külterületi szemét és veszélyes hulladék gyűjtése</t>
  </si>
  <si>
    <t>Szelektív hulladékgyűjtés és zöldhulladék gyűjtés</t>
  </si>
  <si>
    <t>Vízelvezetések: Belvízcsatornák üzemeltetése; árvízvédekezési feladatok; csapadékvíz-elvezető rendszer üzemeltetése; csapadékvíz csatornák tisztítása, szippantás; illegális csapadékvíz-bekötések ellenőrzése; A3 mederkotrás 51. túli szakasz 1500 fm; műszaki ellenőrzés</t>
  </si>
  <si>
    <t>Vagyongazdálkodási kiadások</t>
  </si>
  <si>
    <t>KisDuna TV-től műsoridő vásárlás támogatása</t>
  </si>
  <si>
    <t>Közmunkások irányítása</t>
  </si>
  <si>
    <t>Közvilágítás, parkok díszvilágításának karbantartása, karácsonyi díszvilágítás felszerelése, karbantartása</t>
  </si>
  <si>
    <t>Dunaharaszti Hírek és információs kiadványok</t>
  </si>
  <si>
    <t>Útépítés, útfelújítás,  műszaki ellenőrzés, eljárási díjak, üzemeltetési engedélyek beszerzése</t>
  </si>
  <si>
    <t>2017. évi csapadékvíz elvezetés, intézményi beruházások tervezése, üzemeltetési, vízjogi engedélyek beszerzése</t>
  </si>
  <si>
    <t>Ivóvíz, szennyvíz, csapadékvíz elvezetés tervezések, engedélyeztetések *</t>
  </si>
  <si>
    <t>Egyéb csapadékvíz elvezetési feladatok tartaléka (Földváry utca, Kisfaludy u., Móricz Zs. u., stb.)</t>
  </si>
  <si>
    <t>38.</t>
  </si>
  <si>
    <t>Út- és parkolóépítési tervek, engedélyek</t>
  </si>
  <si>
    <t>Kitüntetői díjak adományozása</t>
  </si>
  <si>
    <t>Intézményeknél selejt eszköz cseréje</t>
  </si>
  <si>
    <t xml:space="preserve">Intézményi ingatlanok különféle karbantartási kerete </t>
  </si>
  <si>
    <t>Nyári napközis tábor kiadásai</t>
  </si>
  <si>
    <t>Gyermekétkeztetési tartalék</t>
  </si>
  <si>
    <t>A beruházásokhoz kapcsolódó EU támogatások és hitelek kockázati fedezete</t>
  </si>
  <si>
    <t>Városgazdálkodás: üzemeltetés, karbantartás biztonsági tartalék</t>
  </si>
  <si>
    <t xml:space="preserve">Normatíva felülvizsgálat tartalék </t>
  </si>
  <si>
    <t>Képviselő-testület rendelkezése</t>
  </si>
  <si>
    <t>Polgármester rendelkezése</t>
  </si>
  <si>
    <t>Kisposta</t>
  </si>
  <si>
    <t>DMTK-KVSE Aquasport Egyesület támogatása</t>
  </si>
  <si>
    <t>Intézményi zöldterület ad hoc feladatainak ellátása</t>
  </si>
  <si>
    <t>Gyógyászati segédeszköz támogatás</t>
  </si>
  <si>
    <t>Ételallergiában szenvedő gyerekek támogatása</t>
  </si>
  <si>
    <t>Rendszeres települési támogatás ápolás céljára</t>
  </si>
  <si>
    <t>Adóbevételekhez kapcsolódó biztonsági tartalék</t>
  </si>
  <si>
    <t>Pályázatokhoz kapcsolódó kockázati tartalék</t>
  </si>
  <si>
    <r>
      <t>Pénzkészlet 2016. január 1-jén
e</t>
    </r>
    <r>
      <rPr>
        <i/>
        <sz val="10"/>
        <rFont val="Times New Roman CE"/>
        <charset val="238"/>
      </rPr>
      <t>bből:</t>
    </r>
  </si>
  <si>
    <r>
      <t>Záró pénzkészlet 2016. december 31-én
e</t>
    </r>
    <r>
      <rPr>
        <i/>
        <sz val="10"/>
        <rFont val="Times New Roman CE"/>
        <charset val="238"/>
      </rPr>
      <t>bből:</t>
    </r>
  </si>
  <si>
    <t>Piac aszfaltozás *</t>
  </si>
  <si>
    <t>Képviselő-testület rendelkezése*</t>
  </si>
  <si>
    <t>,</t>
  </si>
  <si>
    <t>Hitel és kamattörlesztés és hitelfelvétellel kapcsolatos egyéb költségek*</t>
  </si>
  <si>
    <t>"Csapadékvíz elvezetés 2016." keretből A-3/7 csapadékvíz elvezető csatorna rekonstrukciója a Bláthy Ottó u. és  Jedlik u. között forrás visszapótlása 035 keretgazdára</t>
  </si>
  <si>
    <t>Intézményi átszervezés miatt a munkavállalók közalkalmazotti átsorolása miatti bérkülönbözet fedezete</t>
  </si>
  <si>
    <t>Környezetvédelmi program felülvizsgálata, környezeti fenntarthatósági szakértői díj</t>
  </si>
  <si>
    <t>Némedi úti párhuzamos parkolók, járda, kerékpárút útügyi és vízjogi létesítési engedélyezési eljárás levonyolítása</t>
  </si>
  <si>
    <t>Puskás Tivadar u. -51-es főút csomóponti turbó körforgalom kivitelezési terve (kiviteli terv, konzol terv és kapcsolódó statika, ill. tömörségi vizsgálat</t>
  </si>
  <si>
    <t>Önkormányzati tulajdonú mért közvilágítás hálózat üzemeltetése</t>
  </si>
  <si>
    <t>Zágoni utca földutjának stabilizációja II. ütem</t>
  </si>
  <si>
    <t>Intézményi karbantartás</t>
  </si>
  <si>
    <t>Dunaharaszti Város Önkormányzata SZABAD MARADVÁNY</t>
  </si>
  <si>
    <t>PMH munkáltatói kölcsön emelés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</si>
  <si>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</si>
  <si>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</si>
  <si>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</si>
  <si>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</si>
  <si>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</si>
  <si>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</si>
  <si>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</si>
  <si>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</si>
  <si>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</si>
  <si>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</si>
  <si>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</si>
  <si>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</si>
  <si>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</si>
  <si>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</si>
  <si>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</si>
  <si>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</si>
  <si>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</si>
  <si>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</si>
  <si>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</si>
  <si>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</si>
  <si>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</si>
  <si>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</si>
  <si>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</si>
  <si>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</si>
  <si>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</si>
  <si>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</si>
  <si>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</si>
  <si>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</si>
  <si>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</si>
  <si>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</si>
  <si>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</si>
  <si>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</si>
  <si>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</si>
  <si>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</si>
  <si>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</si>
  <si>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</si>
  <si>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</si>
  <si>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</si>
  <si>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</si>
  <si>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</si>
  <si>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</si>
  <si>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</si>
  <si>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</si>
  <si>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</si>
  <si>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</si>
  <si>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</si>
  <si>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</si>
  <si>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</si>
  <si>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</si>
  <si>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</si>
  <si>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</si>
  <si>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</si>
  <si>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</si>
  <si>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</si>
  <si>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</si>
  <si>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</si>
  <si>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</si>
  <si>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</si>
  <si>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</si>
  <si>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</si>
  <si>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</si>
  <si>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</si>
  <si>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</si>
  <si>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</si>
  <si>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</si>
  <si>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</si>
  <si>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</si>
  <si>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</si>
  <si>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</si>
  <si>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</si>
  <si>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</si>
  <si>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</si>
  <si>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</si>
  <si>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</si>
  <si>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</si>
  <si>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</si>
  <si>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</si>
  <si>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</si>
  <si>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</si>
  <si>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</si>
  <si>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</si>
  <si>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</si>
  <si>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</si>
  <si>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</si>
  <si>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</si>
  <si>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</si>
  <si>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</si>
  <si>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</si>
  <si>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e) az egyéb nyújtott kedvezmény vagy kölcsön elengedésének összege nemleges</t>
  </si>
  <si>
    <t>Összesen:</t>
  </si>
  <si>
    <t>Önkormányzati tulajdonban álló helyiségek</t>
  </si>
  <si>
    <t>Közterület rendjének fenntartása</t>
  </si>
  <si>
    <t>Feladat típusa</t>
  </si>
  <si>
    <t>Halasztott tételek</t>
  </si>
  <si>
    <t>Módosított Működési célú pénzeszköz átadás államháztartáson kívülre</t>
  </si>
  <si>
    <t>Eredeti                                          Működési célú pénzeszköz átadás államháztartáson kívülre</t>
  </si>
  <si>
    <t>Módosított Támogatásértékű működési kiadás</t>
  </si>
  <si>
    <t>Eredeti Támogatásértékű működési kiadás</t>
  </si>
  <si>
    <t>Szervezet neve</t>
  </si>
  <si>
    <t>d)  a helyiségek, eszközök hasznosításából származó bevételből nyújtott kedvezmény, mentesség összege</t>
  </si>
  <si>
    <t>Bírság</t>
  </si>
  <si>
    <t>Késedelmi pótlék</t>
  </si>
  <si>
    <t>Gépjárműadó</t>
  </si>
  <si>
    <t>Kommunális adó</t>
  </si>
  <si>
    <t>Telekadó</t>
  </si>
  <si>
    <t>Rovatrend száma</t>
  </si>
  <si>
    <t xml:space="preserve">c)  a helyi adónál, gépjárműadónál biztosított kedvezmény, mentesség összege adónemenként </t>
  </si>
  <si>
    <t>b)  lakosság részére lakásépítéshez, lakásfelújításhoz nyújtott kölcsönök elengedésének összege nemleges</t>
  </si>
  <si>
    <t>Közoktatás</t>
  </si>
  <si>
    <t>Szociális (Városi Bölcsőde)</t>
  </si>
  <si>
    <t>Szociális (Gondozási Központ)</t>
  </si>
  <si>
    <t>adatok Ft-ban</t>
  </si>
  <si>
    <t>a)  ellátottak térítési díjának,  kártérítésének méltányossági alapon történő elengedésének összege</t>
  </si>
  <si>
    <t>Dunaharaszti Önkormányzat közvetett támogatásainak részletezése 2016. évben az Ávr.  28 §-a szerint, amelyről rendelkezik az Áht. 24 § (4) bekezdés c) pontja</t>
  </si>
  <si>
    <t>szabad maradvány felhasználás</t>
  </si>
  <si>
    <r>
      <t>Projekt címe.</t>
    </r>
    <r>
      <rPr>
        <b/>
        <u/>
        <sz val="12"/>
        <rFont val="Garamond"/>
        <family val="1"/>
        <charset val="238"/>
      </rPr>
      <t xml:space="preserve"> „Hétszínvirág Óvoda napelemes korszerűsítése"</t>
    </r>
  </si>
  <si>
    <r>
      <t xml:space="preserve">Projekt azonosítószáma: </t>
    </r>
    <r>
      <rPr>
        <b/>
        <sz val="12"/>
        <rFont val="Garamond"/>
        <family val="1"/>
        <charset val="238"/>
      </rPr>
      <t>KMOP-3.3.3-13-2013-0075</t>
    </r>
  </si>
  <si>
    <t>Megújuló energiahordozó bázisú villamosenergiatermelés növekedése (GWh/év)
(A megújuló energiahordozó felhasználásának növekedése indikátoron belül)
(amennyiben releváns)</t>
  </si>
  <si>
    <t>22. Gyesről, gyedről, ápolási díjról visszatérők alkalmazása az elmúlt 5 évben (fő)</t>
  </si>
  <si>
    <r>
      <t>Projekt címe.</t>
    </r>
    <r>
      <rPr>
        <b/>
        <u/>
        <sz val="12"/>
        <rFont val="Garamond"/>
        <family val="1"/>
        <charset val="238"/>
      </rPr>
      <t xml:space="preserve"> „Kőrösi Csoma Sándor Általános Iskola napelemes korszerűsítése""</t>
    </r>
  </si>
  <si>
    <r>
      <t xml:space="preserve">Projekt azonosítószáma: </t>
    </r>
    <r>
      <rPr>
        <b/>
        <sz val="12"/>
        <rFont val="Garamond"/>
        <family val="1"/>
        <charset val="238"/>
      </rPr>
      <t>KMOP-3.3.3-13-2013-0080</t>
    </r>
  </si>
  <si>
    <r>
      <t>Projekt címe.</t>
    </r>
    <r>
      <rPr>
        <b/>
        <u/>
        <sz val="12"/>
        <rFont val="Garamond"/>
        <family val="1"/>
        <charset val="238"/>
      </rPr>
      <t xml:space="preserve"> „Dunaharaszti Mese Óvoda fejlesztése a Szivárvány Óvoda tagintézmény létrehozásával, 6 csoportos új épület építésével"</t>
    </r>
  </si>
  <si>
    <r>
      <t xml:space="preserve">Projekt azonosítószáma: </t>
    </r>
    <r>
      <rPr>
        <b/>
        <sz val="12"/>
        <rFont val="Garamond"/>
        <family val="1"/>
        <charset val="238"/>
      </rPr>
      <t>KMOP-4.6.1-11-2012-2025</t>
    </r>
  </si>
  <si>
    <t>Eredmény/Mutató/Indikátor neve</t>
  </si>
  <si>
    <t>Mérték-</t>
  </si>
  <si>
    <t>Megvalósítási</t>
  </si>
  <si>
    <t>Fenntartási időszak (célérték)</t>
  </si>
  <si>
    <t>egység</t>
  </si>
  <si>
    <t>időszak (célérték)</t>
  </si>
  <si>
    <t>(db, fő, %)</t>
  </si>
  <si>
    <t>Output indikátor</t>
  </si>
  <si>
    <t>A közoktatási intézmények fejlesztéssel érintett telephelyeinek száma</t>
  </si>
  <si>
    <t>A projekt eredményeképpen létrejött, újonnan kialakított és működésbe bevont csoportszobák száma</t>
  </si>
  <si>
    <t>A projekt eredményeképpen létrejött, újonnan kialakított és működésbe bevont csoportszobákban létesített férőhelyek száma</t>
  </si>
  <si>
    <t>Akadálymentes épített vagy felújított helyiségek száma</t>
  </si>
  <si>
    <t>Fejlesztéssel érintett/Fejlesztett udvarok száma</t>
  </si>
  <si>
    <t>Eredmény indikátor</t>
  </si>
  <si>
    <t>A támogatott intézményben ellátott gyerekek átlagos létszámának összege</t>
  </si>
  <si>
    <t>A támogatott intézményekben ellátott/tanuló hátrányos helyzetű gyerekek átlagos létszámának összege</t>
  </si>
  <si>
    <t>A támogatott intézményekben ellátott/tanuló gyerekek átlagos létszámának összege - ebből sajátos nevelési igényű</t>
  </si>
  <si>
    <t>A programok által érintett tanulók között a 11/1994 (VI.8) MKM rendelet 39/E §. értelmében integrációs nevelésbe bevont tanulók száma</t>
  </si>
  <si>
    <t>13.a - 13.d mellékletek, 1-10. tájékoztató táblák és 1-8. függelékek</t>
  </si>
  <si>
    <t>66.</t>
  </si>
  <si>
    <t>Dunaharaszti városi vízelvezetés e-közmű rendszer szolgáltatás kialakítására, szükséges geodéziai felmérés, adatbázis elvégzésére</t>
  </si>
  <si>
    <t>67.</t>
  </si>
  <si>
    <t xml:space="preserve">*23./2017.(III.27.) sz. Kt. határozat alapján történt átcsoportosítás   </t>
  </si>
  <si>
    <t xml:space="preserve">    Ebből: államháztartáson belüli megelőlegezések</t>
  </si>
  <si>
    <t>Rendőrautó vásárlás</t>
  </si>
  <si>
    <t>68.</t>
  </si>
  <si>
    <t>Részvény értékesítés (102)</t>
  </si>
  <si>
    <t>2016. év teljesítés</t>
  </si>
  <si>
    <t>2019. év előirányzat</t>
  </si>
  <si>
    <t xml:space="preserve">Dunaharaszti Város Önkormányzat 2016. évi működési, felhalmozási bevételeinek és kiadásainak mérlegszerű bemutatása </t>
  </si>
  <si>
    <t>Bérlakás értékesítés számla</t>
  </si>
  <si>
    <t>Környezetvédelmi számla</t>
  </si>
  <si>
    <t>Vízi közmű bérleti díj elkülönített számla</t>
  </si>
  <si>
    <t>Közfoglalkoztatottak támogatása számla</t>
  </si>
  <si>
    <t>Közigazgatási hatósági eljárási Illeték számla</t>
  </si>
  <si>
    <t>Társadalmi összefogással megvalósuló közműfejlesztés lebonyolítás szla</t>
  </si>
  <si>
    <t>Alaptevékenység kötelezettvállalással terhelt maradvány (részletezve 13.c tábla)</t>
  </si>
  <si>
    <r>
      <t>2017. évi költségvetésben 2017. évben megvalósítható halasztott tételeken</t>
    </r>
    <r>
      <rPr>
        <b/>
        <sz val="11"/>
        <color theme="1"/>
        <rFont val="Garamond"/>
        <family val="1"/>
        <charset val="238"/>
      </rPr>
      <t xml:space="preserve"> felüli szabad maradvány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</si>
</sst>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  <numFmt numFmtId="166" formatCode="_-* #,##0.0\ _F_t_-;\-* #,##0.0\ _F_t_-;_-* &quot;-&quot;??\ _F_t_-;_-@_-"/>
    <numFmt numFmtId="167" formatCode="#,##0\ &quot;Ft&quot;"/>
    <numFmt numFmtId="168" formatCode="_-* #,##0.000\ &quot;Ft&quot;_-;\-* #,##0.000\ &quot;Ft&quot;_-;_-* &quot;-&quot;??\ &quot;Ft&quot;_-;_-@_-"/>
    <numFmt numFmtId="169" formatCode="_-* #,##0.0\ &quot;Ft&quot;_-;\-* #,##0.0\ &quot;Ft&quot;_-;_-* &quot;-&quot;??\ &quot;Ft&quot;_-;_-@_-"/>
    <numFmt numFmtId="170" formatCode="_-* #,##0\ &quot;Ft&quot;_-;\-* #,##0\ &quot;Ft&quot;_-;_-* &quot;-&quot;???\ &quot;Ft&quot;_-;_-@_-"/>
    <numFmt numFmtId="171" formatCode="#,###__"/>
    <numFmt numFmtId="172" formatCode="#,##0_ ;\-#,##0\ "/>
    <numFmt numFmtId="173" formatCode="_-* #,##0\ _F_t_-;\-* #,##0\ _F_t_-;_-* \-??\ _F_t_-;_-@_-"/>
    <numFmt numFmtId="174" formatCode="#,##0_ ;[Red]\-#,##0\ "/>
    <numFmt numFmtId="175" formatCode="0.000"/>
  </numFmts>
  <fonts count="1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b/>
      <sz val="18"/>
      <color indexed="8"/>
      <name val="Garamond"/>
      <family val="1"/>
      <charset val="238"/>
    </font>
    <font>
      <sz val="15"/>
      <color indexed="8"/>
      <name val="Garamond"/>
      <family val="1"/>
      <charset val="238"/>
    </font>
    <font>
      <b/>
      <sz val="16"/>
      <color indexed="8"/>
      <name val="Garamond"/>
      <family val="1"/>
      <charset val="238"/>
    </font>
    <font>
      <sz val="18"/>
      <color indexed="8"/>
      <name val="Garamond"/>
      <family val="1"/>
      <charset val="238"/>
    </font>
    <font>
      <b/>
      <i/>
      <sz val="14"/>
      <color indexed="8"/>
      <name val="Garamond"/>
      <family val="1"/>
      <charset val="238"/>
    </font>
    <font>
      <b/>
      <i/>
      <sz val="18"/>
      <color indexed="8"/>
      <name val="Garamond"/>
      <family val="1"/>
      <charset val="238"/>
    </font>
    <font>
      <i/>
      <sz val="18"/>
      <color indexed="8"/>
      <name val="Garamond"/>
      <family val="1"/>
      <charset val="238"/>
    </font>
    <font>
      <b/>
      <i/>
      <sz val="15"/>
      <color indexed="8"/>
      <name val="Garamond"/>
      <family val="1"/>
      <charset val="238"/>
    </font>
    <font>
      <b/>
      <i/>
      <sz val="16"/>
      <color indexed="8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sz val="15"/>
      <color indexed="8"/>
      <name val="Garamond"/>
      <family val="1"/>
      <charset val="238"/>
    </font>
    <font>
      <i/>
      <sz val="15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20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i/>
      <sz val="18"/>
      <color theme="1"/>
      <name val="Garamond"/>
      <family val="1"/>
      <charset val="238"/>
    </font>
    <font>
      <b/>
      <sz val="18"/>
      <name val="Garamond"/>
      <family val="1"/>
      <charset val="238"/>
    </font>
    <font>
      <sz val="18"/>
      <name val="Garamond"/>
      <family val="1"/>
      <charset val="238"/>
    </font>
    <font>
      <i/>
      <sz val="18"/>
      <name val="Garamond"/>
      <family val="1"/>
      <charset val="238"/>
    </font>
    <font>
      <sz val="14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4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2"/>
      <color indexed="10"/>
      <name val="Garamond"/>
      <family val="1"/>
      <charset val="238"/>
    </font>
    <font>
      <sz val="12"/>
      <color indexed="10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7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sz val="13"/>
      <color theme="1"/>
      <name val="Calibri"/>
      <family val="2"/>
      <charset val="238"/>
      <scheme val="minor"/>
    </font>
    <font>
      <u/>
      <sz val="12"/>
      <name val="Garamond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3"/>
      <name val="Garamond"/>
      <family val="1"/>
      <charset val="238"/>
    </font>
    <font>
      <b/>
      <i/>
      <u/>
      <sz val="12"/>
      <name val="Garamond"/>
      <family val="1"/>
      <charset val="238"/>
    </font>
    <font>
      <sz val="10"/>
      <color theme="1"/>
      <name val="Bookman Old Style"/>
      <family val="1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4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2"/>
      <name val="Garamond"/>
      <family val="1"/>
      <charset val="238"/>
    </font>
    <font>
      <b/>
      <sz val="12"/>
      <name val="Times New Roman"/>
      <family val="1"/>
      <charset val="238"/>
    </font>
    <font>
      <b/>
      <sz val="9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sz val="15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B3B3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5" applyNumberFormat="0" applyAlignment="0" applyProtection="0"/>
    <xf numFmtId="0" fontId="20" fillId="21" borderId="16" applyNumberFormat="0" applyAlignment="0" applyProtection="0"/>
    <xf numFmtId="0" fontId="21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3" fillId="0" borderId="0" applyFont="0" applyFill="0" applyAlignment="0" applyProtection="0"/>
    <xf numFmtId="165" fontId="23" fillId="0" borderId="0" applyFont="0" applyFill="0" applyAlignment="0" applyProtection="0"/>
    <xf numFmtId="166" fontId="23" fillId="0" borderId="0" applyFont="0" applyFill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5" fillId="0" borderId="0" applyFill="0" applyBorder="0" applyAlignment="0" applyProtection="0"/>
    <xf numFmtId="43" fontId="16" fillId="0" borderId="0" applyFont="0" applyFill="0" applyBorder="0" applyAlignment="0" applyProtection="0"/>
    <xf numFmtId="0" fontId="26" fillId="4" borderId="0" applyNumberFormat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5" applyNumberFormat="0" applyAlignment="0" applyProtection="0"/>
    <xf numFmtId="0" fontId="31" fillId="0" borderId="20" applyNumberFormat="0" applyFill="0" applyAlignment="0" applyProtection="0"/>
    <xf numFmtId="0" fontId="32" fillId="22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6" fillId="0" borderId="0"/>
    <xf numFmtId="0" fontId="24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4" fillId="23" borderId="21" applyNumberFormat="0" applyFont="0" applyAlignment="0" applyProtection="0"/>
    <xf numFmtId="0" fontId="33" fillId="20" borderId="22" applyNumberFormat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56" fillId="0" borderId="0"/>
    <xf numFmtId="0" fontId="23" fillId="0" borderId="0"/>
    <xf numFmtId="9" fontId="1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0" fillId="0" borderId="0"/>
    <xf numFmtId="0" fontId="56" fillId="0" borderId="0"/>
    <xf numFmtId="0" fontId="24" fillId="0" borderId="0"/>
    <xf numFmtId="0" fontId="1" fillId="0" borderId="0"/>
    <xf numFmtId="173" fontId="25" fillId="0" borderId="0" applyFill="0" applyBorder="0" applyAlignment="0" applyProtection="0"/>
    <xf numFmtId="0" fontId="24" fillId="0" borderId="0"/>
    <xf numFmtId="0" fontId="24" fillId="0" borderId="0"/>
    <xf numFmtId="0" fontId="1" fillId="0" borderId="0"/>
    <xf numFmtId="43" fontId="16" fillId="0" borderId="0" applyFont="0" applyFill="0" applyBorder="0" applyAlignment="0" applyProtection="0"/>
    <xf numFmtId="0" fontId="24" fillId="0" borderId="0"/>
  </cellStyleXfs>
  <cellXfs count="941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vertical="center" wrapText="1"/>
    </xf>
    <xf numFmtId="164" fontId="6" fillId="0" borderId="7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4" fontId="11" fillId="0" borderId="6" xfId="2" applyNumberFormat="1" applyFont="1" applyFill="1" applyBorder="1" applyAlignment="1">
      <alignment vertical="center" wrapText="1"/>
    </xf>
    <xf numFmtId="164" fontId="12" fillId="0" borderId="7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64" fontId="14" fillId="0" borderId="6" xfId="2" applyNumberFormat="1" applyFont="1" applyFill="1" applyBorder="1" applyAlignment="1">
      <alignment vertical="center" wrapText="1"/>
    </xf>
    <xf numFmtId="164" fontId="4" fillId="0" borderId="6" xfId="2" applyNumberFormat="1" applyFont="1" applyFill="1" applyBorder="1" applyAlignment="1">
      <alignment vertical="center"/>
    </xf>
    <xf numFmtId="164" fontId="7" fillId="0" borderId="6" xfId="2" applyNumberFormat="1" applyFont="1" applyFill="1" applyBorder="1" applyAlignment="1">
      <alignment vertical="center"/>
    </xf>
    <xf numFmtId="164" fontId="10" fillId="0" borderId="6" xfId="2" applyNumberFormat="1" applyFont="1" applyFill="1" applyBorder="1" applyAlignment="1">
      <alignment vertical="center"/>
    </xf>
    <xf numFmtId="164" fontId="9" fillId="0" borderId="6" xfId="2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5" xfId="0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164" fontId="9" fillId="0" borderId="6" xfId="2" applyNumberFormat="1" applyFont="1" applyFill="1" applyBorder="1" applyAlignment="1">
      <alignment horizontal="center" vertical="center"/>
    </xf>
    <xf numFmtId="164" fontId="9" fillId="0" borderId="7" xfId="2" applyNumberFormat="1" applyFont="1" applyFill="1" applyBorder="1" applyAlignment="1">
      <alignment horizontal="center" vertical="center"/>
    </xf>
    <xf numFmtId="0" fontId="38" fillId="0" borderId="0" xfId="0" applyFont="1" applyFill="1"/>
    <xf numFmtId="164" fontId="38" fillId="0" borderId="0" xfId="0" applyNumberFormat="1" applyFont="1" applyFill="1"/>
    <xf numFmtId="0" fontId="37" fillId="0" borderId="0" xfId="0" applyFont="1" applyFill="1"/>
    <xf numFmtId="165" fontId="2" fillId="0" borderId="0" xfId="1" applyNumberFormat="1" applyFont="1" applyFill="1"/>
    <xf numFmtId="0" fontId="39" fillId="0" borderId="0" xfId="0" applyFont="1" applyFill="1"/>
    <xf numFmtId="164" fontId="39" fillId="0" borderId="0" xfId="0" applyNumberFormat="1" applyFont="1" applyFill="1"/>
    <xf numFmtId="0" fontId="9" fillId="0" borderId="12" xfId="0" applyFont="1" applyFill="1" applyBorder="1" applyAlignment="1">
      <alignment horizontal="center"/>
    </xf>
    <xf numFmtId="164" fontId="9" fillId="0" borderId="1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164" fontId="41" fillId="0" borderId="0" xfId="0" applyNumberFormat="1" applyFont="1" applyFill="1"/>
    <xf numFmtId="0" fontId="45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wrapText="1"/>
    </xf>
    <xf numFmtId="167" fontId="41" fillId="0" borderId="0" xfId="0" applyNumberFormat="1" applyFont="1" applyFill="1"/>
    <xf numFmtId="0" fontId="46" fillId="0" borderId="24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1" fillId="0" borderId="1" xfId="0" applyFont="1" applyFill="1" applyBorder="1"/>
    <xf numFmtId="170" fontId="41" fillId="0" borderId="0" xfId="0" applyNumberFormat="1" applyFont="1" applyFill="1"/>
    <xf numFmtId="164" fontId="2" fillId="0" borderId="0" xfId="0" applyNumberFormat="1" applyFont="1" applyFill="1"/>
    <xf numFmtId="0" fontId="47" fillId="0" borderId="1" xfId="0" applyFont="1" applyFill="1" applyBorder="1" applyAlignment="1">
      <alignment horizontal="center" vertical="center" textRotation="90" wrapText="1"/>
    </xf>
    <xf numFmtId="0" fontId="47" fillId="0" borderId="1" xfId="0" applyFont="1" applyFill="1" applyBorder="1" applyAlignment="1">
      <alignment horizontal="center" vertical="center" textRotation="90"/>
    </xf>
    <xf numFmtId="164" fontId="42" fillId="0" borderId="0" xfId="0" applyNumberFormat="1" applyFont="1" applyFill="1"/>
    <xf numFmtId="167" fontId="42" fillId="0" borderId="0" xfId="0" applyNumberFormat="1" applyFont="1" applyFill="1"/>
    <xf numFmtId="0" fontId="53" fillId="0" borderId="0" xfId="68" applyFont="1"/>
    <xf numFmtId="0" fontId="57" fillId="0" borderId="0" xfId="68" applyFont="1" applyAlignment="1"/>
    <xf numFmtId="0" fontId="57" fillId="0" borderId="0" xfId="68" applyFont="1" applyAlignment="1">
      <alignment horizontal="center"/>
    </xf>
    <xf numFmtId="0" fontId="57" fillId="0" borderId="0" xfId="68" applyFont="1"/>
    <xf numFmtId="0" fontId="60" fillId="0" borderId="0" xfId="68" applyFont="1"/>
    <xf numFmtId="165" fontId="60" fillId="0" borderId="0" xfId="32" applyNumberFormat="1" applyFont="1"/>
    <xf numFmtId="165" fontId="60" fillId="0" borderId="0" xfId="32" applyNumberFormat="1" applyFont="1" applyAlignment="1">
      <alignment horizontal="center"/>
    </xf>
    <xf numFmtId="14" fontId="57" fillId="0" borderId="0" xfId="68" applyNumberFormat="1" applyFont="1" applyAlignment="1">
      <alignment horizontal="center"/>
    </xf>
    <xf numFmtId="165" fontId="57" fillId="0" borderId="1" xfId="32" applyNumberFormat="1" applyFont="1" applyBorder="1" applyAlignment="1">
      <alignment horizontal="center" wrapText="1"/>
    </xf>
    <xf numFmtId="0" fontId="57" fillId="0" borderId="0" xfId="69" applyFont="1" applyBorder="1" applyAlignment="1">
      <alignment horizontal="center"/>
    </xf>
    <xf numFmtId="0" fontId="57" fillId="0" borderId="1" xfId="69" applyFont="1" applyBorder="1" applyAlignment="1">
      <alignment horizontal="center" vertical="center" wrapText="1"/>
    </xf>
    <xf numFmtId="165" fontId="57" fillId="0" borderId="1" xfId="32" applyNumberFormat="1" applyFont="1" applyBorder="1" applyAlignment="1">
      <alignment horizontal="center" vertical="center"/>
    </xf>
    <xf numFmtId="0" fontId="53" fillId="0" borderId="1" xfId="69" applyFont="1" applyBorder="1"/>
    <xf numFmtId="164" fontId="57" fillId="0" borderId="1" xfId="60" applyNumberFormat="1" applyFont="1" applyBorder="1"/>
    <xf numFmtId="9" fontId="57" fillId="0" borderId="1" xfId="70" applyFont="1" applyBorder="1"/>
    <xf numFmtId="164" fontId="53" fillId="0" borderId="1" xfId="60" applyNumberFormat="1" applyFont="1" applyBorder="1" applyAlignment="1">
      <alignment horizontal="center"/>
    </xf>
    <xf numFmtId="14" fontId="53" fillId="0" borderId="1" xfId="69" applyNumberFormat="1" applyFont="1" applyBorder="1" applyAlignment="1">
      <alignment horizontal="center"/>
    </xf>
    <xf numFmtId="0" fontId="53" fillId="0" borderId="1" xfId="69" applyFont="1" applyBorder="1" applyAlignment="1">
      <alignment horizontal="center"/>
    </xf>
    <xf numFmtId="49" fontId="53" fillId="0" borderId="1" xfId="69" applyNumberFormat="1" applyFont="1" applyBorder="1" applyAlignment="1">
      <alignment horizontal="center"/>
    </xf>
    <xf numFmtId="0" fontId="53" fillId="0" borderId="0" xfId="69" applyFont="1" applyBorder="1"/>
    <xf numFmtId="0" fontId="53" fillId="0" borderId="0" xfId="69" applyFont="1"/>
    <xf numFmtId="49" fontId="53" fillId="0" borderId="1" xfId="69" applyNumberFormat="1" applyFont="1" applyBorder="1" applyAlignment="1">
      <alignment horizontal="center" vertical="center"/>
    </xf>
    <xf numFmtId="9" fontId="57" fillId="0" borderId="1" xfId="70" applyNumberFormat="1" applyFont="1" applyBorder="1"/>
    <xf numFmtId="164" fontId="57" fillId="0" borderId="1" xfId="60" applyNumberFormat="1" applyFont="1" applyFill="1" applyBorder="1" applyAlignment="1">
      <alignment horizontal="center" vertical="center"/>
    </xf>
    <xf numFmtId="9" fontId="57" fillId="0" borderId="1" xfId="70" applyFont="1" applyFill="1" applyBorder="1" applyAlignment="1">
      <alignment horizontal="center" vertical="center"/>
    </xf>
    <xf numFmtId="165" fontId="57" fillId="0" borderId="1" xfId="32" applyNumberFormat="1" applyFont="1" applyFill="1" applyBorder="1" applyAlignment="1">
      <alignment horizontal="center" vertical="center"/>
    </xf>
    <xf numFmtId="14" fontId="57" fillId="0" borderId="1" xfId="69" applyNumberFormat="1" applyFont="1" applyFill="1" applyBorder="1" applyAlignment="1">
      <alignment horizontal="center" vertical="center"/>
    </xf>
    <xf numFmtId="0" fontId="57" fillId="0" borderId="1" xfId="69" applyFont="1" applyFill="1" applyBorder="1" applyAlignment="1">
      <alignment vertical="center"/>
    </xf>
    <xf numFmtId="0" fontId="57" fillId="0" borderId="0" xfId="69" applyFont="1" applyFill="1" applyBorder="1" applyAlignment="1">
      <alignment vertical="center"/>
    </xf>
    <xf numFmtId="0" fontId="57" fillId="0" borderId="0" xfId="69" applyFont="1" applyAlignment="1">
      <alignment horizontal="center" vertical="center"/>
    </xf>
    <xf numFmtId="0" fontId="57" fillId="0" borderId="0" xfId="68" applyFont="1" applyFill="1" applyAlignment="1">
      <alignment horizontal="center" vertical="center"/>
    </xf>
    <xf numFmtId="0" fontId="57" fillId="0" borderId="0" xfId="68" applyFont="1" applyFill="1" applyBorder="1" applyAlignment="1">
      <alignment horizontal="center" vertical="center"/>
    </xf>
    <xf numFmtId="165" fontId="57" fillId="0" borderId="0" xfId="32" applyNumberFormat="1" applyFont="1" applyFill="1" applyBorder="1" applyAlignment="1">
      <alignment horizontal="center" vertical="center"/>
    </xf>
    <xf numFmtId="14" fontId="57" fillId="0" borderId="0" xfId="68" applyNumberFormat="1" applyFont="1" applyFill="1" applyBorder="1" applyAlignment="1">
      <alignment horizontal="center" vertical="center"/>
    </xf>
    <xf numFmtId="0" fontId="53" fillId="0" borderId="0" xfId="68" applyFont="1" applyBorder="1"/>
    <xf numFmtId="0" fontId="57" fillId="0" borderId="0" xfId="68" applyFont="1" applyBorder="1"/>
    <xf numFmtId="165" fontId="57" fillId="0" borderId="0" xfId="32" applyNumberFormat="1" applyFont="1" applyBorder="1"/>
    <xf numFmtId="165" fontId="57" fillId="0" borderId="0" xfId="32" applyNumberFormat="1" applyFont="1" applyBorder="1" applyAlignment="1">
      <alignment horizontal="center"/>
    </xf>
    <xf numFmtId="14" fontId="57" fillId="0" borderId="0" xfId="68" applyNumberFormat="1" applyFont="1" applyBorder="1" applyAlignment="1">
      <alignment horizontal="center"/>
    </xf>
    <xf numFmtId="0" fontId="57" fillId="0" borderId="0" xfId="68" applyFont="1" applyBorder="1" applyAlignment="1">
      <alignment horizontal="center"/>
    </xf>
    <xf numFmtId="0" fontId="53" fillId="0" borderId="0" xfId="68" applyFont="1" applyFill="1" applyBorder="1"/>
    <xf numFmtId="0" fontId="57" fillId="0" borderId="0" xfId="68" applyFont="1" applyFill="1"/>
    <xf numFmtId="0" fontId="57" fillId="0" borderId="0" xfId="68" applyFont="1" applyFill="1" applyBorder="1"/>
    <xf numFmtId="0" fontId="53" fillId="0" borderId="0" xfId="68" applyFont="1" applyFill="1"/>
    <xf numFmtId="0" fontId="61" fillId="0" borderId="0" xfId="68" applyFont="1" applyFill="1"/>
    <xf numFmtId="0" fontId="62" fillId="0" borderId="0" xfId="68" applyFont="1" applyFill="1" applyBorder="1" applyAlignment="1">
      <alignment horizontal="center"/>
    </xf>
    <xf numFmtId="165" fontId="62" fillId="0" borderId="0" xfId="32" applyNumberFormat="1" applyFont="1" applyFill="1" applyBorder="1" applyAlignment="1">
      <alignment horizontal="center"/>
    </xf>
    <xf numFmtId="14" fontId="62" fillId="0" borderId="0" xfId="68" applyNumberFormat="1" applyFont="1" applyFill="1" applyBorder="1" applyAlignment="1">
      <alignment horizontal="center"/>
    </xf>
    <xf numFmtId="0" fontId="62" fillId="0" borderId="0" xfId="68" applyFont="1" applyFill="1"/>
    <xf numFmtId="165" fontId="57" fillId="0" borderId="0" xfId="32" applyNumberFormat="1" applyFont="1" applyFill="1" applyBorder="1"/>
    <xf numFmtId="165" fontId="57" fillId="0" borderId="0" xfId="32" applyNumberFormat="1" applyFont="1" applyFill="1" applyBorder="1" applyAlignment="1">
      <alignment horizontal="center"/>
    </xf>
    <xf numFmtId="14" fontId="57" fillId="0" borderId="0" xfId="68" applyNumberFormat="1" applyFont="1" applyFill="1" applyBorder="1" applyAlignment="1">
      <alignment horizontal="center"/>
    </xf>
    <xf numFmtId="0" fontId="57" fillId="0" borderId="0" xfId="68" applyFont="1" applyFill="1" applyBorder="1" applyAlignment="1">
      <alignment horizontal="center"/>
    </xf>
    <xf numFmtId="165" fontId="53" fillId="0" borderId="0" xfId="32" applyNumberFormat="1" applyFont="1"/>
    <xf numFmtId="165" fontId="53" fillId="0" borderId="0" xfId="32" applyNumberFormat="1" applyFont="1" applyAlignment="1">
      <alignment horizontal="center"/>
    </xf>
    <xf numFmtId="14" fontId="53" fillId="0" borderId="0" xfId="68" applyNumberFormat="1" applyFont="1" applyAlignment="1">
      <alignment horizontal="center"/>
    </xf>
    <xf numFmtId="0" fontId="53" fillId="0" borderId="0" xfId="68" applyFont="1" applyAlignment="1">
      <alignment horizontal="center"/>
    </xf>
    <xf numFmtId="0" fontId="23" fillId="0" borderId="0" xfId="49"/>
    <xf numFmtId="0" fontId="23" fillId="0" borderId="0" xfId="49" applyFill="1"/>
    <xf numFmtId="0" fontId="66" fillId="0" borderId="0" xfId="49" applyFont="1" applyFill="1" applyBorder="1" applyAlignment="1">
      <alignment horizontal="center"/>
    </xf>
    <xf numFmtId="0" fontId="68" fillId="0" borderId="0" xfId="49" applyFont="1" applyFill="1" applyBorder="1"/>
    <xf numFmtId="0" fontId="68" fillId="0" borderId="35" xfId="49" applyFont="1" applyFill="1" applyBorder="1"/>
    <xf numFmtId="0" fontId="68" fillId="0" borderId="36" xfId="49" applyFont="1" applyFill="1" applyBorder="1"/>
    <xf numFmtId="0" fontId="69" fillId="0" borderId="0" xfId="49" applyFont="1" applyFill="1" applyBorder="1"/>
    <xf numFmtId="0" fontId="68" fillId="0" borderId="0" xfId="49" applyFont="1" applyFill="1" applyBorder="1" applyAlignment="1">
      <alignment horizontal="center"/>
    </xf>
    <xf numFmtId="0" fontId="68" fillId="0" borderId="0" xfId="49" applyFont="1" applyFill="1" applyBorder="1" applyAlignment="1">
      <alignment horizontal="right"/>
    </xf>
    <xf numFmtId="0" fontId="68" fillId="0" borderId="37" xfId="49" applyFont="1" applyFill="1" applyBorder="1"/>
    <xf numFmtId="3" fontId="68" fillId="0" borderId="1" xfId="49" applyNumberFormat="1" applyFont="1" applyFill="1" applyBorder="1" applyAlignment="1">
      <alignment horizontal="center" vertical="center"/>
    </xf>
    <xf numFmtId="0" fontId="68" fillId="0" borderId="38" xfId="49" applyFont="1" applyFill="1" applyBorder="1"/>
    <xf numFmtId="0" fontId="68" fillId="0" borderId="1" xfId="49" applyFont="1" applyFill="1" applyBorder="1" applyAlignment="1">
      <alignment horizontal="center" vertical="center"/>
    </xf>
    <xf numFmtId="3" fontId="73" fillId="0" borderId="1" xfId="49" applyNumberFormat="1" applyFont="1" applyFill="1" applyBorder="1" applyAlignment="1">
      <alignment horizontal="center" vertical="center" wrapText="1"/>
    </xf>
    <xf numFmtId="0" fontId="68" fillId="0" borderId="39" xfId="49" applyFont="1" applyFill="1" applyBorder="1"/>
    <xf numFmtId="14" fontId="68" fillId="0" borderId="1" xfId="49" applyNumberFormat="1" applyFont="1" applyFill="1" applyBorder="1" applyAlignment="1">
      <alignment horizontal="center" vertical="center" wrapText="1"/>
    </xf>
    <xf numFmtId="0" fontId="68" fillId="0" borderId="1" xfId="49" applyFont="1" applyFill="1" applyBorder="1" applyAlignment="1">
      <alignment horizontal="center" vertical="center" wrapText="1"/>
    </xf>
    <xf numFmtId="3" fontId="74" fillId="0" borderId="1" xfId="49" applyNumberFormat="1" applyFont="1" applyFill="1" applyBorder="1" applyAlignment="1">
      <alignment horizontal="center" vertical="center" wrapText="1"/>
    </xf>
    <xf numFmtId="0" fontId="68" fillId="0" borderId="1" xfId="49" applyFont="1" applyFill="1" applyBorder="1" applyAlignment="1">
      <alignment horizontal="center"/>
    </xf>
    <xf numFmtId="0" fontId="68" fillId="0" borderId="1" xfId="49" applyNumberFormat="1" applyFont="1" applyFill="1" applyBorder="1" applyAlignment="1">
      <alignment horizontal="center" vertical="center"/>
    </xf>
    <xf numFmtId="3" fontId="75" fillId="0" borderId="1" xfId="49" applyNumberFormat="1" applyFont="1" applyFill="1" applyBorder="1" applyAlignment="1">
      <alignment horizontal="center" vertical="center"/>
    </xf>
    <xf numFmtId="0" fontId="75" fillId="0" borderId="0" xfId="49" applyFont="1" applyFill="1" applyBorder="1" applyAlignment="1">
      <alignment horizontal="center"/>
    </xf>
    <xf numFmtId="0" fontId="75" fillId="0" borderId="39" xfId="49" applyFont="1" applyFill="1" applyBorder="1" applyAlignment="1">
      <alignment horizontal="center"/>
    </xf>
    <xf numFmtId="3" fontId="75" fillId="0" borderId="1" xfId="49" applyNumberFormat="1" applyFont="1" applyFill="1" applyBorder="1" applyAlignment="1">
      <alignment horizontal="center" vertical="center" wrapText="1"/>
    </xf>
    <xf numFmtId="0" fontId="74" fillId="0" borderId="0" xfId="49" applyFont="1" applyFill="1" applyBorder="1"/>
    <xf numFmtId="0" fontId="74" fillId="0" borderId="40" xfId="49" applyFont="1" applyFill="1" applyBorder="1"/>
    <xf numFmtId="3" fontId="68" fillId="0" borderId="1" xfId="49" applyNumberFormat="1" applyFont="1" applyFill="1" applyBorder="1" applyAlignment="1">
      <alignment horizontal="center" vertical="center" wrapText="1"/>
    </xf>
    <xf numFmtId="3" fontId="71" fillId="0" borderId="1" xfId="49" applyNumberFormat="1" applyFont="1" applyFill="1" applyBorder="1" applyAlignment="1">
      <alignment horizontal="center" vertical="center" wrapText="1"/>
    </xf>
    <xf numFmtId="3" fontId="74" fillId="0" borderId="1" xfId="49" applyNumberFormat="1" applyFont="1" applyFill="1" applyBorder="1" applyAlignment="1">
      <alignment horizontal="center" vertical="center"/>
    </xf>
    <xf numFmtId="0" fontId="74" fillId="0" borderId="35" xfId="49" applyFont="1" applyFill="1" applyBorder="1"/>
    <xf numFmtId="164" fontId="68" fillId="0" borderId="1" xfId="60" applyNumberFormat="1" applyFont="1" applyFill="1" applyBorder="1" applyAlignment="1">
      <alignment horizontal="center" vertical="center"/>
    </xf>
    <xf numFmtId="164" fontId="71" fillId="0" borderId="1" xfId="60" applyNumberFormat="1" applyFont="1" applyFill="1" applyBorder="1" applyAlignment="1">
      <alignment horizontal="center" vertical="center"/>
    </xf>
    <xf numFmtId="3" fontId="75" fillId="0" borderId="41" xfId="49" applyNumberFormat="1" applyFont="1" applyFill="1" applyBorder="1" applyAlignment="1">
      <alignment horizontal="center" vertical="center"/>
    </xf>
    <xf numFmtId="3" fontId="75" fillId="0" borderId="42" xfId="49" applyNumberFormat="1" applyFont="1" applyFill="1" applyBorder="1" applyAlignment="1">
      <alignment horizontal="center" vertical="center"/>
    </xf>
    <xf numFmtId="3" fontId="75" fillId="0" borderId="43" xfId="49" applyNumberFormat="1" applyFont="1" applyFill="1" applyBorder="1" applyAlignment="1">
      <alignment horizontal="center" vertical="center"/>
    </xf>
    <xf numFmtId="3" fontId="75" fillId="0" borderId="44" xfId="49" applyNumberFormat="1" applyFont="1" applyFill="1" applyBorder="1" applyAlignment="1">
      <alignment horizontal="center" vertical="center"/>
    </xf>
    <xf numFmtId="3" fontId="75" fillId="0" borderId="0" xfId="49" applyNumberFormat="1" applyFont="1" applyFill="1" applyBorder="1" applyAlignment="1">
      <alignment horizontal="center" vertical="center"/>
    </xf>
    <xf numFmtId="3" fontId="68" fillId="0" borderId="45" xfId="49" applyNumberFormat="1" applyFont="1" applyFill="1" applyBorder="1" applyAlignment="1">
      <alignment horizontal="center" vertical="center"/>
    </xf>
    <xf numFmtId="164" fontId="68" fillId="0" borderId="39" xfId="60" applyNumberFormat="1" applyFont="1" applyFill="1" applyBorder="1" applyAlignment="1">
      <alignment horizontal="center" vertical="center"/>
    </xf>
    <xf numFmtId="164" fontId="68" fillId="0" borderId="0" xfId="60" applyNumberFormat="1" applyFont="1" applyFill="1" applyBorder="1" applyAlignment="1">
      <alignment horizontal="center" vertical="center"/>
    </xf>
    <xf numFmtId="0" fontId="76" fillId="26" borderId="46" xfId="49" applyFont="1" applyFill="1" applyBorder="1" applyAlignment="1">
      <alignment horizontal="center" vertical="center" wrapText="1"/>
    </xf>
    <xf numFmtId="164" fontId="72" fillId="26" borderId="47" xfId="60" applyNumberFormat="1" applyFont="1" applyFill="1" applyBorder="1" applyAlignment="1">
      <alignment horizontal="center" vertical="center"/>
    </xf>
    <xf numFmtId="3" fontId="72" fillId="26" borderId="0" xfId="49" applyNumberFormat="1" applyFont="1" applyFill="1" applyBorder="1"/>
    <xf numFmtId="0" fontId="72" fillId="26" borderId="0" xfId="49" applyFont="1" applyFill="1" applyBorder="1"/>
    <xf numFmtId="0" fontId="72" fillId="26" borderId="36" xfId="49" applyFont="1" applyFill="1" applyBorder="1"/>
    <xf numFmtId="0" fontId="77" fillId="27" borderId="0" xfId="49" applyFont="1" applyFill="1" applyBorder="1" applyAlignment="1">
      <alignment horizontal="center" vertical="center" wrapText="1"/>
    </xf>
    <xf numFmtId="164" fontId="77" fillId="27" borderId="48" xfId="60" applyNumberFormat="1" applyFont="1" applyFill="1" applyBorder="1" applyAlignment="1">
      <alignment vertical="center"/>
    </xf>
    <xf numFmtId="3" fontId="78" fillId="27" borderId="0" xfId="49" applyNumberFormat="1" applyFont="1" applyFill="1" applyBorder="1"/>
    <xf numFmtId="0" fontId="78" fillId="27" borderId="0" xfId="49" applyFont="1" applyFill="1" applyBorder="1"/>
    <xf numFmtId="164" fontId="77" fillId="27" borderId="48" xfId="60" applyNumberFormat="1" applyFont="1" applyFill="1" applyBorder="1" applyAlignment="1">
      <alignment horizontal="center" vertical="center"/>
    </xf>
    <xf numFmtId="0" fontId="68" fillId="0" borderId="49" xfId="49" applyFont="1" applyFill="1" applyBorder="1"/>
    <xf numFmtId="164" fontId="78" fillId="0" borderId="0" xfId="60" applyNumberFormat="1" applyFont="1" applyFill="1" applyBorder="1" applyAlignment="1">
      <alignment vertical="center" wrapText="1"/>
    </xf>
    <xf numFmtId="164" fontId="68" fillId="0" borderId="0" xfId="49" applyNumberFormat="1" applyFont="1" applyFill="1" applyBorder="1"/>
    <xf numFmtId="0" fontId="78" fillId="0" borderId="0" xfId="49" applyFont="1" applyFill="1" applyBorder="1" applyAlignment="1">
      <alignment vertical="center" wrapText="1"/>
    </xf>
    <xf numFmtId="0" fontId="78" fillId="0" borderId="0" xfId="49" applyFont="1" applyFill="1" applyBorder="1"/>
    <xf numFmtId="3" fontId="78" fillId="0" borderId="0" xfId="49" applyNumberFormat="1" applyFont="1" applyFill="1" applyBorder="1"/>
    <xf numFmtId="0" fontId="78" fillId="0" borderId="0" xfId="49" applyFont="1" applyFill="1" applyBorder="1" applyAlignment="1">
      <alignment horizontal="center" wrapText="1"/>
    </xf>
    <xf numFmtId="0" fontId="78" fillId="0" borderId="0" xfId="49" applyFont="1" applyFill="1" applyBorder="1" applyAlignment="1">
      <alignment horizontal="center"/>
    </xf>
    <xf numFmtId="3" fontId="78" fillId="0" borderId="0" xfId="49" applyNumberFormat="1" applyFont="1" applyFill="1" applyBorder="1" applyAlignment="1"/>
    <xf numFmtId="0" fontId="78" fillId="0" borderId="0" xfId="49" applyFont="1" applyFill="1" applyBorder="1" applyAlignment="1"/>
    <xf numFmtId="0" fontId="71" fillId="0" borderId="0" xfId="49" applyFont="1" applyFill="1" applyBorder="1"/>
    <xf numFmtId="3" fontId="68" fillId="0" borderId="0" xfId="49" applyNumberFormat="1" applyFont="1" applyFill="1" applyBorder="1" applyAlignment="1">
      <alignment horizontal="center"/>
    </xf>
    <xf numFmtId="3" fontId="68" fillId="0" borderId="0" xfId="49" applyNumberFormat="1" applyFont="1" applyFill="1" applyBorder="1"/>
    <xf numFmtId="0" fontId="68" fillId="0" borderId="40" xfId="49" applyFont="1" applyFill="1" applyBorder="1"/>
    <xf numFmtId="0" fontId="68" fillId="0" borderId="50" xfId="49" applyFont="1" applyFill="1" applyBorder="1"/>
    <xf numFmtId="0" fontId="68" fillId="0" borderId="51" xfId="49" applyFont="1" applyFill="1" applyBorder="1"/>
    <xf numFmtId="0" fontId="79" fillId="0" borderId="0" xfId="0" applyFont="1" applyFill="1" applyAlignment="1"/>
    <xf numFmtId="0" fontId="0" fillId="0" borderId="0" xfId="0" applyAlignment="1">
      <alignment wrapText="1"/>
    </xf>
    <xf numFmtId="0" fontId="85" fillId="0" borderId="0" xfId="72" applyFont="1" applyBorder="1" applyAlignment="1">
      <alignment vertical="center" wrapText="1"/>
    </xf>
    <xf numFmtId="0" fontId="24" fillId="0" borderId="0" xfId="71"/>
    <xf numFmtId="0" fontId="80" fillId="0" borderId="0" xfId="71" applyFont="1" applyAlignment="1"/>
    <xf numFmtId="0" fontId="86" fillId="0" borderId="0" xfId="71" applyFont="1" applyAlignment="1"/>
    <xf numFmtId="0" fontId="53" fillId="0" borderId="0" xfId="71" applyFont="1" applyAlignment="1"/>
    <xf numFmtId="0" fontId="24" fillId="0" borderId="0" xfId="71" applyFont="1"/>
    <xf numFmtId="0" fontId="60" fillId="0" borderId="0" xfId="73" applyFont="1" applyAlignment="1"/>
    <xf numFmtId="0" fontId="57" fillId="0" borderId="0" xfId="72" applyFont="1" applyFill="1" applyBorder="1" applyAlignment="1">
      <alignment horizontal="center" wrapText="1"/>
    </xf>
    <xf numFmtId="0" fontId="0" fillId="0" borderId="1" xfId="0" applyBorder="1"/>
    <xf numFmtId="0" fontId="87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57" fillId="0" borderId="0" xfId="72" applyFont="1" applyBorder="1" applyAlignment="1">
      <alignment vertical="center" wrapText="1"/>
    </xf>
    <xf numFmtId="0" fontId="88" fillId="0" borderId="0" xfId="74" applyFont="1"/>
    <xf numFmtId="0" fontId="53" fillId="0" borderId="0" xfId="73" applyFont="1" applyAlignment="1"/>
    <xf numFmtId="0" fontId="53" fillId="0" borderId="0" xfId="73" applyFont="1"/>
    <xf numFmtId="0" fontId="24" fillId="0" borderId="0" xfId="73"/>
    <xf numFmtId="14" fontId="55" fillId="0" borderId="1" xfId="0" applyNumberFormat="1" applyFont="1" applyBorder="1"/>
    <xf numFmtId="0" fontId="0" fillId="28" borderId="0" xfId="0" applyFill="1"/>
    <xf numFmtId="0" fontId="24" fillId="0" borderId="0" xfId="75"/>
    <xf numFmtId="0" fontId="90" fillId="0" borderId="0" xfId="76" applyFill="1"/>
    <xf numFmtId="0" fontId="91" fillId="0" borderId="0" xfId="76" applyFont="1" applyFill="1" applyAlignment="1">
      <alignment horizontal="right"/>
    </xf>
    <xf numFmtId="0" fontId="92" fillId="0" borderId="0" xfId="76" applyFont="1" applyFill="1" applyAlignment="1" applyProtection="1">
      <alignment vertical="center" wrapText="1"/>
      <protection locked="0"/>
    </xf>
    <xf numFmtId="0" fontId="92" fillId="0" borderId="0" xfId="76" applyFont="1" applyFill="1" applyAlignment="1" applyProtection="1">
      <alignment horizontal="center" vertical="top" wrapText="1"/>
      <protection locked="0"/>
    </xf>
    <xf numFmtId="0" fontId="90" fillId="0" borderId="0" xfId="76" applyFill="1" applyBorder="1" applyAlignment="1">
      <alignment horizontal="right" wrapText="1"/>
    </xf>
    <xf numFmtId="0" fontId="93" fillId="0" borderId="2" xfId="76" applyFont="1" applyFill="1" applyBorder="1" applyAlignment="1">
      <alignment horizontal="center" vertical="center" textRotation="90" wrapText="1"/>
    </xf>
    <xf numFmtId="0" fontId="92" fillId="0" borderId="3" xfId="76" applyFont="1" applyFill="1" applyBorder="1" applyAlignment="1">
      <alignment horizontal="center" vertical="center"/>
    </xf>
    <xf numFmtId="0" fontId="94" fillId="0" borderId="3" xfId="76" applyFont="1" applyFill="1" applyBorder="1" applyAlignment="1">
      <alignment horizontal="center" vertical="center" wrapText="1"/>
    </xf>
    <xf numFmtId="0" fontId="95" fillId="0" borderId="3" xfId="76" applyFont="1" applyFill="1" applyBorder="1" applyAlignment="1">
      <alignment horizontal="center" vertical="center" wrapText="1"/>
    </xf>
    <xf numFmtId="0" fontId="90" fillId="0" borderId="0" xfId="76" applyFill="1" applyBorder="1" applyAlignment="1">
      <alignment horizontal="center"/>
    </xf>
    <xf numFmtId="0" fontId="95" fillId="0" borderId="0" xfId="76" applyFont="1" applyFill="1" applyBorder="1" applyAlignment="1">
      <alignment horizontal="center" vertical="center" wrapText="1"/>
    </xf>
    <xf numFmtId="0" fontId="90" fillId="0" borderId="0" xfId="76" applyFill="1" applyAlignment="1">
      <alignment horizontal="center"/>
    </xf>
    <xf numFmtId="0" fontId="90" fillId="0" borderId="5" xfId="76" applyFill="1" applyBorder="1" applyAlignment="1">
      <alignment horizontal="center" vertical="center"/>
    </xf>
    <xf numFmtId="0" fontId="90" fillId="0" borderId="6" xfId="76" applyFill="1" applyBorder="1" applyAlignment="1" applyProtection="1">
      <alignment horizontal="left" vertical="center" wrapText="1" indent="1"/>
      <protection locked="0"/>
    </xf>
    <xf numFmtId="164" fontId="97" fillId="0" borderId="6" xfId="2" applyNumberFormat="1" applyFont="1" applyFill="1" applyBorder="1" applyAlignment="1" applyProtection="1">
      <alignment horizontal="right" vertical="center"/>
    </xf>
    <xf numFmtId="171" fontId="97" fillId="0" borderId="0" xfId="76" applyNumberFormat="1" applyFont="1" applyFill="1" applyBorder="1" applyAlignment="1" applyProtection="1">
      <alignment horizontal="right" vertical="center"/>
    </xf>
    <xf numFmtId="171" fontId="90" fillId="0" borderId="0" xfId="76" applyNumberFormat="1" applyFill="1"/>
    <xf numFmtId="0" fontId="98" fillId="0" borderId="6" xfId="76" applyFont="1" applyFill="1" applyBorder="1" applyAlignment="1">
      <alignment horizontal="left" vertical="center" indent="5"/>
    </xf>
    <xf numFmtId="164" fontId="100" fillId="0" borderId="6" xfId="2" applyNumberFormat="1" applyFont="1" applyFill="1" applyBorder="1" applyAlignment="1" applyProtection="1">
      <alignment horizontal="right" vertical="center"/>
      <protection locked="0"/>
    </xf>
    <xf numFmtId="164" fontId="100" fillId="0" borderId="6" xfId="2" applyNumberFormat="1" applyFont="1" applyFill="1" applyBorder="1" applyAlignment="1">
      <alignment vertical="center"/>
    </xf>
    <xf numFmtId="172" fontId="100" fillId="0" borderId="0" xfId="36" applyNumberFormat="1" applyFont="1" applyFill="1" applyBorder="1" applyAlignment="1">
      <alignment vertical="center"/>
    </xf>
    <xf numFmtId="0" fontId="90" fillId="0" borderId="31" xfId="76" applyFill="1" applyBorder="1" applyAlignment="1">
      <alignment horizontal="center" vertical="center"/>
    </xf>
    <xf numFmtId="0" fontId="98" fillId="0" borderId="34" xfId="76" applyFont="1" applyFill="1" applyBorder="1" applyAlignment="1">
      <alignment horizontal="left" vertical="center" wrapText="1" indent="5"/>
    </xf>
    <xf numFmtId="164" fontId="100" fillId="0" borderId="34" xfId="2" applyNumberFormat="1" applyFont="1" applyFill="1" applyBorder="1" applyAlignment="1" applyProtection="1">
      <alignment horizontal="right" vertical="center"/>
      <protection locked="0"/>
    </xf>
    <xf numFmtId="164" fontId="100" fillId="0" borderId="34" xfId="2" applyNumberFormat="1" applyFont="1" applyFill="1" applyBorder="1" applyAlignment="1">
      <alignment vertical="center"/>
    </xf>
    <xf numFmtId="0" fontId="90" fillId="0" borderId="2" xfId="76" applyFill="1" applyBorder="1" applyAlignment="1">
      <alignment horizontal="center" vertical="center"/>
    </xf>
    <xf numFmtId="0" fontId="90" fillId="0" borderId="3" xfId="76" applyFont="1" applyFill="1" applyBorder="1" applyAlignment="1">
      <alignment horizontal="left" vertical="center" indent="1"/>
    </xf>
    <xf numFmtId="164" fontId="100" fillId="0" borderId="3" xfId="2" applyNumberFormat="1" applyFont="1" applyFill="1" applyBorder="1" applyAlignment="1" applyProtection="1">
      <alignment horizontal="right" vertical="center"/>
      <protection locked="0"/>
    </xf>
    <xf numFmtId="164" fontId="100" fillId="0" borderId="3" xfId="2" applyNumberFormat="1" applyFont="1" applyFill="1" applyBorder="1" applyAlignment="1">
      <alignment vertical="center"/>
    </xf>
    <xf numFmtId="164" fontId="100" fillId="0" borderId="4" xfId="2" applyNumberFormat="1" applyFont="1" applyFill="1" applyBorder="1" applyAlignment="1">
      <alignment vertical="center"/>
    </xf>
    <xf numFmtId="172" fontId="101" fillId="0" borderId="0" xfId="36" applyNumberFormat="1" applyFont="1" applyFill="1" applyBorder="1" applyAlignment="1">
      <alignment vertical="center"/>
    </xf>
    <xf numFmtId="0" fontId="90" fillId="0" borderId="6" xfId="76" applyFont="1" applyFill="1" applyBorder="1" applyAlignment="1">
      <alignment horizontal="left" vertical="center" indent="1"/>
    </xf>
    <xf numFmtId="164" fontId="100" fillId="0" borderId="7" xfId="2" applyNumberFormat="1" applyFont="1" applyFill="1" applyBorder="1" applyAlignment="1">
      <alignment vertical="center"/>
    </xf>
    <xf numFmtId="0" fontId="90" fillId="0" borderId="12" xfId="76" applyFill="1" applyBorder="1" applyAlignment="1">
      <alignment horizontal="center" vertical="center"/>
    </xf>
    <xf numFmtId="0" fontId="90" fillId="0" borderId="13" xfId="76" applyFont="1" applyFill="1" applyBorder="1" applyAlignment="1">
      <alignment horizontal="left" vertical="center" wrapText="1" indent="1"/>
    </xf>
    <xf numFmtId="164" fontId="100" fillId="0" borderId="13" xfId="2" applyNumberFormat="1" applyFont="1" applyFill="1" applyBorder="1" applyAlignment="1" applyProtection="1">
      <alignment horizontal="right" vertical="center"/>
      <protection locked="0"/>
    </xf>
    <xf numFmtId="164" fontId="100" fillId="0" borderId="13" xfId="2" applyNumberFormat="1" applyFont="1" applyFill="1" applyBorder="1" applyAlignment="1">
      <alignment vertical="center"/>
    </xf>
    <xf numFmtId="164" fontId="100" fillId="0" borderId="14" xfId="2" applyNumberFormat="1" applyFont="1" applyFill="1" applyBorder="1" applyAlignment="1">
      <alignment vertical="center"/>
    </xf>
    <xf numFmtId="0" fontId="90" fillId="0" borderId="52" xfId="76" applyFill="1" applyBorder="1" applyAlignment="1">
      <alignment horizontal="center" vertical="center"/>
    </xf>
    <xf numFmtId="0" fontId="90" fillId="0" borderId="53" xfId="76" applyFill="1" applyBorder="1" applyAlignment="1" applyProtection="1">
      <alignment horizontal="left" vertical="center" wrapText="1" indent="1"/>
      <protection locked="0"/>
    </xf>
    <xf numFmtId="164" fontId="97" fillId="0" borderId="53" xfId="2" applyNumberFormat="1" applyFont="1" applyFill="1" applyBorder="1" applyAlignment="1" applyProtection="1">
      <alignment horizontal="right" vertical="center"/>
    </xf>
    <xf numFmtId="172" fontId="102" fillId="0" borderId="0" xfId="36" applyNumberFormat="1" applyFont="1" applyFill="1" applyBorder="1" applyAlignment="1">
      <alignment vertical="center"/>
    </xf>
    <xf numFmtId="164" fontId="90" fillId="0" borderId="6" xfId="2" applyNumberFormat="1" applyFont="1" applyFill="1" applyBorder="1"/>
    <xf numFmtId="0" fontId="98" fillId="0" borderId="13" xfId="76" applyFont="1" applyFill="1" applyBorder="1" applyAlignment="1">
      <alignment horizontal="left" vertical="center" wrapText="1" indent="5"/>
    </xf>
    <xf numFmtId="164" fontId="90" fillId="0" borderId="13" xfId="2" applyNumberFormat="1" applyFont="1" applyFill="1" applyBorder="1"/>
    <xf numFmtId="0" fontId="103" fillId="0" borderId="0" xfId="76" applyFont="1" applyFill="1" applyAlignment="1">
      <alignment wrapText="1"/>
    </xf>
    <xf numFmtId="164" fontId="103" fillId="0" borderId="0" xfId="2" applyNumberFormat="1" applyFont="1" applyFill="1"/>
    <xf numFmtId="164" fontId="90" fillId="0" borderId="0" xfId="2" applyNumberFormat="1" applyFont="1" applyFill="1"/>
    <xf numFmtId="172" fontId="90" fillId="0" borderId="0" xfId="76" applyNumberFormat="1" applyFill="1"/>
    <xf numFmtId="44" fontId="90" fillId="0" borderId="0" xfId="2" applyFont="1" applyFill="1"/>
    <xf numFmtId="165" fontId="90" fillId="0" borderId="0" xfId="76" applyNumberFormat="1" applyFill="1"/>
    <xf numFmtId="0" fontId="49" fillId="0" borderId="0" xfId="77" applyFont="1" applyFill="1" applyBorder="1" applyAlignment="1">
      <alignment horizontal="center" vertical="center" wrapText="1"/>
    </xf>
    <xf numFmtId="0" fontId="57" fillId="0" borderId="0" xfId="77" applyFont="1" applyFill="1" applyBorder="1" applyAlignment="1">
      <alignment horizontal="center" vertical="center" wrapText="1"/>
    </xf>
    <xf numFmtId="0" fontId="64" fillId="0" borderId="0" xfId="77" applyFont="1" applyFill="1" applyBorder="1" applyAlignment="1">
      <alignment vertical="center"/>
    </xf>
    <xf numFmtId="173" fontId="65" fillId="0" borderId="0" xfId="39" applyNumberFormat="1" applyFont="1" applyFill="1" applyBorder="1" applyAlignment="1" applyProtection="1">
      <alignment vertical="center"/>
    </xf>
    <xf numFmtId="0" fontId="57" fillId="0" borderId="0" xfId="56" applyFont="1" applyFill="1"/>
    <xf numFmtId="49" fontId="49" fillId="0" borderId="1" xfId="39" applyNumberFormat="1" applyFont="1" applyFill="1" applyBorder="1" applyAlignment="1" applyProtection="1">
      <alignment horizontal="center" vertical="center" wrapText="1"/>
    </xf>
    <xf numFmtId="49" fontId="49" fillId="0" borderId="54" xfId="39" applyNumberFormat="1" applyFont="1" applyFill="1" applyBorder="1" applyAlignment="1" applyProtection="1">
      <alignment horizontal="center" vertical="center" wrapText="1"/>
    </xf>
    <xf numFmtId="49" fontId="57" fillId="0" borderId="25" xfId="39" applyNumberFormat="1" applyFont="1" applyFill="1" applyBorder="1" applyAlignment="1" applyProtection="1">
      <alignment horizontal="center" vertical="center" wrapText="1"/>
    </xf>
    <xf numFmtId="49" fontId="57" fillId="0" borderId="1" xfId="39" applyNumberFormat="1" applyFont="1" applyFill="1" applyBorder="1" applyAlignment="1" applyProtection="1">
      <alignment horizontal="center" vertical="center" wrapText="1"/>
    </xf>
    <xf numFmtId="0" fontId="50" fillId="0" borderId="1" xfId="77" applyFont="1" applyFill="1" applyBorder="1" applyAlignment="1">
      <alignment horizontal="center" vertical="center" wrapText="1"/>
    </xf>
    <xf numFmtId="0" fontId="104" fillId="0" borderId="1" xfId="56" applyFont="1" applyFill="1" applyBorder="1" applyAlignment="1">
      <alignment vertical="center" wrapText="1"/>
    </xf>
    <xf numFmtId="0" fontId="53" fillId="0" borderId="1" xfId="77" applyFont="1" applyFill="1" applyBorder="1" applyAlignment="1">
      <alignment horizontal="center" vertical="center" wrapText="1"/>
    </xf>
    <xf numFmtId="3" fontId="53" fillId="0" borderId="1" xfId="77" applyNumberFormat="1" applyFont="1" applyFill="1" applyBorder="1" applyAlignment="1">
      <alignment horizontal="center" vertical="center" wrapText="1"/>
    </xf>
    <xf numFmtId="3" fontId="53" fillId="0" borderId="54" xfId="77" applyNumberFormat="1" applyFont="1" applyFill="1" applyBorder="1" applyAlignment="1">
      <alignment horizontal="center" vertical="center" wrapText="1"/>
    </xf>
    <xf numFmtId="173" fontId="53" fillId="0" borderId="25" xfId="39" applyNumberFormat="1" applyFont="1" applyFill="1" applyBorder="1" applyAlignment="1" applyProtection="1">
      <alignment horizontal="center" vertical="center" wrapText="1"/>
    </xf>
    <xf numFmtId="173" fontId="53" fillId="0" borderId="1" xfId="39" applyNumberFormat="1" applyFont="1" applyFill="1" applyBorder="1" applyAlignment="1" applyProtection="1">
      <alignment horizontal="center" vertical="center" wrapText="1"/>
    </xf>
    <xf numFmtId="0" fontId="53" fillId="0" borderId="0" xfId="56" applyFont="1" applyFill="1"/>
    <xf numFmtId="0" fontId="104" fillId="0" borderId="1" xfId="56" applyFont="1" applyFill="1" applyBorder="1" applyAlignment="1">
      <alignment vertical="center"/>
    </xf>
    <xf numFmtId="0" fontId="53" fillId="0" borderId="0" xfId="56" applyFont="1" applyFill="1" applyBorder="1"/>
    <xf numFmtId="0" fontId="53" fillId="0" borderId="0" xfId="56" applyFont="1" applyFill="1" applyBorder="1" applyAlignment="1">
      <alignment wrapText="1"/>
    </xf>
    <xf numFmtId="0" fontId="53" fillId="0" borderId="1" xfId="56" applyFont="1" applyFill="1" applyBorder="1" applyAlignment="1">
      <alignment wrapText="1"/>
    </xf>
    <xf numFmtId="0" fontId="53" fillId="0" borderId="54" xfId="56" applyFont="1" applyFill="1" applyBorder="1" applyAlignment="1">
      <alignment horizontal="center" vertical="center" wrapText="1"/>
    </xf>
    <xf numFmtId="0" fontId="53" fillId="0" borderId="25" xfId="56" applyFont="1" applyFill="1" applyBorder="1" applyAlignment="1">
      <alignment wrapText="1"/>
    </xf>
    <xf numFmtId="0" fontId="53" fillId="0" borderId="1" xfId="56" applyFont="1" applyFill="1" applyBorder="1" applyAlignment="1">
      <alignment horizontal="center" vertical="center" wrapText="1"/>
    </xf>
    <xf numFmtId="0" fontId="65" fillId="0" borderId="1" xfId="77" applyFont="1" applyFill="1" applyBorder="1" applyAlignment="1">
      <alignment horizontal="center" vertical="center"/>
    </xf>
    <xf numFmtId="3" fontId="57" fillId="0" borderId="1" xfId="39" applyNumberFormat="1" applyFont="1" applyFill="1" applyBorder="1" applyAlignment="1" applyProtection="1">
      <alignment horizontal="center" vertical="center"/>
    </xf>
    <xf numFmtId="3" fontId="57" fillId="0" borderId="54" xfId="39" applyNumberFormat="1" applyFont="1" applyFill="1" applyBorder="1" applyAlignment="1" applyProtection="1">
      <alignment horizontal="center" vertical="center"/>
    </xf>
    <xf numFmtId="3" fontId="57" fillId="0" borderId="25" xfId="39" applyNumberFormat="1" applyFont="1" applyFill="1" applyBorder="1" applyAlignment="1" applyProtection="1">
      <alignment horizontal="center" vertical="center"/>
    </xf>
    <xf numFmtId="0" fontId="57" fillId="0" borderId="0" xfId="56" applyFont="1" applyFill="1" applyBorder="1"/>
    <xf numFmtId="173" fontId="62" fillId="0" borderId="1" xfId="39" applyNumberFormat="1" applyFont="1" applyFill="1" applyBorder="1" applyAlignment="1" applyProtection="1">
      <alignment horizontal="center" vertical="center" wrapText="1"/>
    </xf>
    <xf numFmtId="173" fontId="53" fillId="0" borderId="54" xfId="39" applyNumberFormat="1" applyFont="1" applyFill="1" applyBorder="1" applyAlignment="1" applyProtection="1">
      <alignment horizontal="center" vertical="center" wrapText="1"/>
    </xf>
    <xf numFmtId="3" fontId="53" fillId="0" borderId="25" xfId="77" applyNumberFormat="1" applyFont="1" applyFill="1" applyBorder="1" applyAlignment="1">
      <alignment horizontal="center" vertical="center" wrapText="1"/>
    </xf>
    <xf numFmtId="0" fontId="53" fillId="0" borderId="1" xfId="77" applyFont="1" applyFill="1" applyBorder="1" applyAlignment="1">
      <alignment horizontal="center" vertical="center"/>
    </xf>
    <xf numFmtId="14" fontId="53" fillId="0" borderId="1" xfId="77" applyNumberFormat="1" applyFont="1" applyFill="1" applyBorder="1" applyAlignment="1">
      <alignment horizontal="center" vertical="center" wrapText="1"/>
    </xf>
    <xf numFmtId="14" fontId="57" fillId="0" borderId="1" xfId="77" applyNumberFormat="1" applyFont="1" applyFill="1" applyBorder="1" applyAlignment="1">
      <alignment horizontal="center" vertical="center" wrapText="1"/>
    </xf>
    <xf numFmtId="173" fontId="57" fillId="0" borderId="1" xfId="39" applyNumberFormat="1" applyFont="1" applyFill="1" applyBorder="1" applyAlignment="1" applyProtection="1">
      <alignment horizontal="center" vertical="center" wrapText="1"/>
    </xf>
    <xf numFmtId="0" fontId="69" fillId="0" borderId="0" xfId="49" applyFont="1" applyFill="1"/>
    <xf numFmtId="0" fontId="57" fillId="0" borderId="28" xfId="77" applyFont="1" applyFill="1" applyBorder="1" applyAlignment="1">
      <alignment horizontal="center" vertical="center" wrapText="1"/>
    </xf>
    <xf numFmtId="14" fontId="57" fillId="0" borderId="28" xfId="77" applyNumberFormat="1" applyFont="1" applyFill="1" applyBorder="1" applyAlignment="1">
      <alignment horizontal="center" vertical="center" wrapText="1"/>
    </xf>
    <xf numFmtId="173" fontId="57" fillId="0" borderId="28" xfId="39" applyNumberFormat="1" applyFont="1" applyFill="1" applyBorder="1" applyAlignment="1" applyProtection="1">
      <alignment horizontal="center" vertical="center" wrapText="1"/>
    </xf>
    <xf numFmtId="14" fontId="53" fillId="0" borderId="33" xfId="77" applyNumberFormat="1" applyFont="1" applyFill="1" applyBorder="1" applyAlignment="1">
      <alignment horizontal="center" vertical="center" wrapText="1"/>
    </xf>
    <xf numFmtId="173" fontId="53" fillId="0" borderId="33" xfId="39" applyNumberFormat="1" applyFont="1" applyFill="1" applyBorder="1" applyAlignment="1" applyProtection="1">
      <alignment horizontal="center" vertical="center" wrapText="1"/>
    </xf>
    <xf numFmtId="3" fontId="53" fillId="0" borderId="33" xfId="77" applyNumberFormat="1" applyFont="1" applyFill="1" applyBorder="1" applyAlignment="1">
      <alignment horizontal="center" vertical="center" wrapText="1"/>
    </xf>
    <xf numFmtId="173" fontId="62" fillId="0" borderId="33" xfId="39" applyNumberFormat="1" applyFont="1" applyFill="1" applyBorder="1" applyAlignment="1" applyProtection="1">
      <alignment horizontal="center" vertical="center" wrapText="1"/>
    </xf>
    <xf numFmtId="173" fontId="23" fillId="0" borderId="0" xfId="49" applyNumberFormat="1" applyFill="1"/>
    <xf numFmtId="173" fontId="69" fillId="0" borderId="0" xfId="49" applyNumberFormat="1" applyFont="1" applyFill="1"/>
    <xf numFmtId="0" fontId="53" fillId="0" borderId="0" xfId="77" applyFont="1" applyFill="1" applyBorder="1" applyAlignment="1">
      <alignment horizontal="center" vertical="center" wrapText="1"/>
    </xf>
    <xf numFmtId="0" fontId="104" fillId="0" borderId="0" xfId="56" applyFont="1" applyFill="1" applyBorder="1" applyAlignment="1">
      <alignment vertical="center" wrapText="1"/>
    </xf>
    <xf numFmtId="14" fontId="53" fillId="0" borderId="0" xfId="77" applyNumberFormat="1" applyFont="1" applyFill="1" applyBorder="1" applyAlignment="1">
      <alignment horizontal="center" vertical="center" wrapText="1"/>
    </xf>
    <xf numFmtId="173" fontId="53" fillId="0" borderId="0" xfId="39" applyNumberFormat="1" applyFont="1" applyFill="1" applyBorder="1" applyAlignment="1" applyProtection="1">
      <alignment horizontal="center" vertical="center" wrapText="1"/>
    </xf>
    <xf numFmtId="3" fontId="53" fillId="0" borderId="0" xfId="77" applyNumberFormat="1" applyFont="1" applyFill="1" applyBorder="1" applyAlignment="1">
      <alignment horizontal="center" vertical="center" wrapText="1"/>
    </xf>
    <xf numFmtId="173" fontId="62" fillId="0" borderId="0" xfId="39" applyNumberFormat="1" applyFont="1" applyFill="1" applyBorder="1" applyAlignment="1" applyProtection="1">
      <alignment horizontal="center" vertical="center" wrapText="1"/>
    </xf>
    <xf numFmtId="0" fontId="53" fillId="0" borderId="0" xfId="56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42" xfId="73" applyFont="1" applyBorder="1" applyAlignment="1">
      <alignment vertical="center" wrapText="1"/>
    </xf>
    <xf numFmtId="0" fontId="53" fillId="0" borderId="42" xfId="73" applyFont="1" applyBorder="1" applyAlignment="1">
      <alignment horizontal="justify"/>
    </xf>
    <xf numFmtId="0" fontId="24" fillId="0" borderId="42" xfId="73" applyFont="1" applyBorder="1" applyAlignment="1">
      <alignment horizontal="center" vertical="center" wrapText="1"/>
    </xf>
    <xf numFmtId="0" fontId="110" fillId="0" borderId="42" xfId="73" applyFont="1" applyBorder="1" applyAlignment="1">
      <alignment wrapText="1"/>
    </xf>
    <xf numFmtId="0" fontId="111" fillId="0" borderId="42" xfId="73" applyFont="1" applyBorder="1" applyAlignment="1">
      <alignment horizontal="center" vertical="center" wrapText="1"/>
    </xf>
    <xf numFmtId="0" fontId="24" fillId="0" borderId="0" xfId="73" applyFont="1"/>
    <xf numFmtId="0" fontId="86" fillId="0" borderId="0" xfId="73" applyFont="1" applyAlignment="1"/>
    <xf numFmtId="0" fontId="80" fillId="0" borderId="0" xfId="73" applyFont="1" applyAlignment="1"/>
    <xf numFmtId="0" fontId="24" fillId="0" borderId="0" xfId="81"/>
    <xf numFmtId="0" fontId="53" fillId="0" borderId="0" xfId="81" applyFont="1" applyAlignment="1"/>
    <xf numFmtId="0" fontId="24" fillId="0" borderId="0" xfId="81" applyFont="1"/>
    <xf numFmtId="0" fontId="60" fillId="0" borderId="0" xfId="81" applyFont="1" applyAlignment="1"/>
    <xf numFmtId="0" fontId="111" fillId="0" borderId="57" xfId="81" applyFont="1" applyBorder="1" applyAlignment="1">
      <alignment horizontal="center" vertical="center" wrapText="1"/>
    </xf>
    <xf numFmtId="0" fontId="111" fillId="0" borderId="58" xfId="81" applyFont="1" applyBorder="1" applyAlignment="1">
      <alignment horizontal="center" vertical="center" wrapText="1"/>
    </xf>
    <xf numFmtId="0" fontId="111" fillId="0" borderId="59" xfId="81" applyFont="1" applyBorder="1" applyAlignment="1">
      <alignment horizontal="center" vertical="center" wrapText="1"/>
    </xf>
    <xf numFmtId="0" fontId="24" fillId="0" borderId="60" xfId="81" applyFont="1" applyBorder="1" applyAlignment="1">
      <alignment horizontal="center" vertical="center" wrapText="1"/>
    </xf>
    <xf numFmtId="0" fontId="53" fillId="0" borderId="42" xfId="81" applyFont="1" applyBorder="1" applyAlignment="1">
      <alignment horizontal="justify"/>
    </xf>
    <xf numFmtId="0" fontId="24" fillId="0" borderId="42" xfId="81" applyFont="1" applyFill="1" applyBorder="1" applyAlignment="1">
      <alignment vertical="center" wrapText="1"/>
    </xf>
    <xf numFmtId="0" fontId="24" fillId="0" borderId="42" xfId="81" applyFont="1" applyBorder="1" applyAlignment="1">
      <alignment vertical="center" wrapText="1"/>
    </xf>
    <xf numFmtId="0" fontId="24" fillId="0" borderId="61" xfId="81" applyFont="1" applyBorder="1" applyAlignment="1">
      <alignment horizontal="center" vertical="center" wrapText="1"/>
    </xf>
    <xf numFmtId="0" fontId="110" fillId="0" borderId="62" xfId="81" applyFont="1" applyBorder="1" applyAlignment="1">
      <alignment wrapText="1"/>
    </xf>
    <xf numFmtId="0" fontId="24" fillId="0" borderId="62" xfId="81" applyFont="1" applyFill="1" applyBorder="1" applyAlignment="1">
      <alignment vertical="center" wrapText="1"/>
    </xf>
    <xf numFmtId="0" fontId="24" fillId="0" borderId="62" xfId="81" applyFont="1" applyBorder="1" applyAlignment="1">
      <alignment vertical="center" wrapText="1"/>
    </xf>
    <xf numFmtId="0" fontId="57" fillId="0" borderId="0" xfId="72" applyFont="1" applyFill="1" applyBorder="1" applyAlignment="1">
      <alignment vertical="center" wrapText="1"/>
    </xf>
    <xf numFmtId="0" fontId="88" fillId="0" borderId="0" xfId="74" applyFont="1" applyFill="1"/>
    <xf numFmtId="0" fontId="88" fillId="0" borderId="1" xfId="74" applyFont="1" applyFill="1" applyBorder="1" applyAlignment="1" applyProtection="1">
      <alignment horizontal="right" vertical="center"/>
      <protection locked="0"/>
    </xf>
    <xf numFmtId="49" fontId="88" fillId="0" borderId="1" xfId="74" applyNumberFormat="1" applyFont="1" applyFill="1" applyBorder="1" applyAlignment="1" applyProtection="1">
      <alignment horizontal="left" vertical="center" wrapText="1"/>
    </xf>
    <xf numFmtId="3" fontId="88" fillId="0" borderId="1" xfId="74" applyNumberFormat="1" applyFont="1" applyFill="1" applyBorder="1" applyAlignment="1" applyProtection="1">
      <alignment horizontal="center" vertical="center" wrapText="1"/>
    </xf>
    <xf numFmtId="4" fontId="88" fillId="0" borderId="1" xfId="74" applyNumberFormat="1" applyFont="1" applyFill="1" applyBorder="1" applyAlignment="1" applyProtection="1">
      <alignment horizontal="center" vertical="center" wrapText="1"/>
      <protection locked="0"/>
    </xf>
    <xf numFmtId="4" fontId="115" fillId="0" borderId="1" xfId="74" applyNumberFormat="1" applyFont="1" applyFill="1" applyBorder="1" applyAlignment="1" applyProtection="1">
      <alignment horizontal="center" vertical="center" wrapText="1"/>
      <protection locked="0"/>
    </xf>
    <xf numFmtId="3" fontId="88" fillId="0" borderId="1" xfId="74" quotePrefix="1" applyNumberFormat="1" applyFont="1" applyFill="1" applyBorder="1" applyAlignment="1" applyProtection="1">
      <alignment horizontal="center" vertical="center" wrapText="1"/>
    </xf>
    <xf numFmtId="3" fontId="88" fillId="0" borderId="1" xfId="74" applyNumberFormat="1" applyFont="1" applyFill="1" applyBorder="1" applyAlignment="1" applyProtection="1">
      <alignment horizontal="center" vertical="center" wrapText="1"/>
      <protection locked="0"/>
    </xf>
    <xf numFmtId="3" fontId="115" fillId="0" borderId="1" xfId="74" applyNumberFormat="1" applyFont="1" applyFill="1" applyBorder="1" applyAlignment="1" applyProtection="1">
      <alignment horizontal="center" vertical="center" wrapText="1"/>
    </xf>
    <xf numFmtId="3" fontId="115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74" applyFont="1" applyFill="1" applyBorder="1" applyAlignment="1" applyProtection="1">
      <alignment horizontal="right" vertical="center"/>
    </xf>
    <xf numFmtId="0" fontId="88" fillId="0" borderId="1" xfId="74" applyFont="1" applyFill="1" applyBorder="1" applyAlignment="1" applyProtection="1">
      <alignment horizontal="left" vertical="center" wrapText="1"/>
    </xf>
    <xf numFmtId="0" fontId="82" fillId="28" borderId="66" xfId="0" applyFont="1" applyFill="1" applyBorder="1" applyAlignment="1">
      <alignment horizontal="center" vertical="center"/>
    </xf>
    <xf numFmtId="0" fontId="24" fillId="0" borderId="0" xfId="82"/>
    <xf numFmtId="0" fontId="80" fillId="0" borderId="0" xfId="82" applyFont="1" applyAlignment="1"/>
    <xf numFmtId="0" fontId="86" fillId="0" borderId="0" xfId="82" applyFont="1" applyAlignment="1"/>
    <xf numFmtId="0" fontId="53" fillId="0" borderId="0" xfId="82" applyFont="1" applyAlignment="1"/>
    <xf numFmtId="0" fontId="60" fillId="0" borderId="0" xfId="82" applyFont="1" applyAlignment="1"/>
    <xf numFmtId="0" fontId="82" fillId="28" borderId="65" xfId="0" applyFont="1" applyFill="1" applyBorder="1" applyAlignment="1">
      <alignment horizontal="center" vertical="center"/>
    </xf>
    <xf numFmtId="0" fontId="82" fillId="28" borderId="68" xfId="0" applyFont="1" applyFill="1" applyBorder="1" applyAlignment="1">
      <alignment horizontal="center" vertical="center" wrapText="1"/>
    </xf>
    <xf numFmtId="0" fontId="111" fillId="0" borderId="0" xfId="82" applyFont="1"/>
    <xf numFmtId="0" fontId="117" fillId="28" borderId="67" xfId="0" applyFont="1" applyFill="1" applyBorder="1" applyAlignment="1">
      <alignment horizontal="left" vertical="center" wrapText="1"/>
    </xf>
    <xf numFmtId="0" fontId="117" fillId="28" borderId="1" xfId="0" applyFont="1" applyFill="1" applyBorder="1" applyAlignment="1">
      <alignment horizontal="center" vertical="center" wrapText="1"/>
    </xf>
    <xf numFmtId="0" fontId="117" fillId="0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0" fontId="116" fillId="0" borderId="24" xfId="0" applyFont="1" applyFill="1" applyBorder="1" applyAlignment="1">
      <alignment horizontal="center" vertical="center" wrapText="1"/>
    </xf>
    <xf numFmtId="0" fontId="83" fillId="28" borderId="69" xfId="0" applyFont="1" applyFill="1" applyBorder="1" applyAlignment="1">
      <alignment horizontal="center" vertical="center"/>
    </xf>
    <xf numFmtId="0" fontId="89" fillId="0" borderId="67" xfId="0" applyFont="1" applyFill="1" applyBorder="1" applyAlignment="1">
      <alignment horizontal="left" vertical="center" wrapText="1"/>
    </xf>
    <xf numFmtId="0" fontId="89" fillId="0" borderId="69" xfId="0" applyFont="1" applyFill="1" applyBorder="1" applyAlignment="1">
      <alignment horizontal="center" vertical="center"/>
    </xf>
    <xf numFmtId="0" fontId="24" fillId="0" borderId="0" xfId="82" applyFill="1"/>
    <xf numFmtId="0" fontId="83" fillId="0" borderId="1" xfId="0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0" fontId="116" fillId="0" borderId="24" xfId="0" applyFont="1" applyFill="1" applyBorder="1" applyAlignment="1">
      <alignment horizontal="center" vertical="center"/>
    </xf>
    <xf numFmtId="0" fontId="45" fillId="0" borderId="0" xfId="0" applyFont="1" applyFill="1"/>
    <xf numFmtId="170" fontId="45" fillId="0" borderId="0" xfId="0" applyNumberFormat="1" applyFont="1" applyFill="1"/>
    <xf numFmtId="0" fontId="118" fillId="0" borderId="0" xfId="0" applyFont="1" applyFill="1"/>
    <xf numFmtId="164" fontId="0" fillId="0" borderId="0" xfId="0" applyNumberFormat="1" applyFill="1"/>
    <xf numFmtId="0" fontId="5" fillId="0" borderId="6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42" fontId="57" fillId="0" borderId="0" xfId="32" applyNumberFormat="1" applyFont="1" applyFill="1" applyBorder="1" applyAlignment="1">
      <alignment horizontal="center"/>
    </xf>
    <xf numFmtId="0" fontId="61" fillId="0" borderId="0" xfId="68" applyFont="1" applyFill="1" applyBorder="1"/>
    <xf numFmtId="0" fontId="57" fillId="0" borderId="8" xfId="69" applyFont="1" applyBorder="1" applyAlignment="1">
      <alignment horizontal="center"/>
    </xf>
    <xf numFmtId="0" fontId="57" fillId="0" borderId="11" xfId="69" applyFont="1" applyBorder="1" applyAlignment="1">
      <alignment horizontal="center"/>
    </xf>
    <xf numFmtId="164" fontId="78" fillId="0" borderId="1" xfId="2" applyNumberFormat="1" applyFont="1" applyFill="1" applyBorder="1" applyAlignment="1">
      <alignment horizontal="center" vertical="center"/>
    </xf>
    <xf numFmtId="14" fontId="57" fillId="0" borderId="8" xfId="77" applyNumberFormat="1" applyFont="1" applyFill="1" applyBorder="1" applyAlignment="1">
      <alignment horizontal="center" vertical="center" wrapText="1"/>
    </xf>
    <xf numFmtId="173" fontId="57" fillId="0" borderId="8" xfId="39" applyNumberFormat="1" applyFont="1" applyFill="1" applyBorder="1" applyAlignment="1" applyProtection="1">
      <alignment horizontal="center" vertical="center" wrapText="1"/>
    </xf>
    <xf numFmtId="173" fontId="57" fillId="0" borderId="70" xfId="39" applyNumberFormat="1" applyFont="1" applyFill="1" applyBorder="1" applyAlignment="1" applyProtection="1">
      <alignment horizontal="center" vertical="center" wrapText="1"/>
    </xf>
    <xf numFmtId="14" fontId="57" fillId="0" borderId="0" xfId="77" applyNumberFormat="1" applyFont="1" applyFill="1" applyBorder="1" applyAlignment="1">
      <alignment horizontal="center" vertical="center" wrapText="1"/>
    </xf>
    <xf numFmtId="173" fontId="57" fillId="0" borderId="0" xfId="39" applyNumberFormat="1" applyFont="1" applyFill="1" applyBorder="1" applyAlignment="1" applyProtection="1">
      <alignment horizontal="center" vertical="center" wrapText="1"/>
    </xf>
    <xf numFmtId="173" fontId="57" fillId="0" borderId="54" xfId="39" applyNumberFormat="1" applyFont="1" applyFill="1" applyBorder="1" applyAlignment="1" applyProtection="1">
      <alignment horizontal="center" vertical="center" wrapText="1"/>
    </xf>
    <xf numFmtId="0" fontId="53" fillId="0" borderId="28" xfId="77" applyFont="1" applyFill="1" applyBorder="1" applyAlignment="1">
      <alignment horizontal="center" vertical="center" wrapText="1"/>
    </xf>
    <xf numFmtId="0" fontId="104" fillId="0" borderId="28" xfId="56" applyFont="1" applyFill="1" applyBorder="1" applyAlignment="1">
      <alignment vertical="center" wrapText="1"/>
    </xf>
    <xf numFmtId="14" fontId="53" fillId="0" borderId="28" xfId="77" applyNumberFormat="1" applyFont="1" applyFill="1" applyBorder="1" applyAlignment="1">
      <alignment horizontal="center" vertical="center" wrapText="1"/>
    </xf>
    <xf numFmtId="173" fontId="53" fillId="0" borderId="28" xfId="39" applyNumberFormat="1" applyFont="1" applyFill="1" applyBorder="1" applyAlignment="1" applyProtection="1">
      <alignment horizontal="center" vertical="center" wrapText="1"/>
    </xf>
    <xf numFmtId="3" fontId="53" fillId="0" borderId="28" xfId="77" applyNumberFormat="1" applyFont="1" applyFill="1" applyBorder="1" applyAlignment="1">
      <alignment horizontal="center" vertical="center" wrapText="1"/>
    </xf>
    <xf numFmtId="173" fontId="62" fillId="0" borderId="28" xfId="39" applyNumberFormat="1" applyFont="1" applyFill="1" applyBorder="1" applyAlignment="1" applyProtection="1">
      <alignment horizontal="center" vertical="center" wrapText="1"/>
    </xf>
    <xf numFmtId="164" fontId="9" fillId="28" borderId="13" xfId="2" applyNumberFormat="1" applyFont="1" applyFill="1" applyBorder="1" applyAlignment="1">
      <alignment horizontal="center" vertical="center"/>
    </xf>
    <xf numFmtId="164" fontId="4" fillId="28" borderId="0" xfId="2" applyNumberFormat="1" applyFont="1" applyFill="1" applyBorder="1" applyAlignment="1">
      <alignment horizontal="center" vertical="center"/>
    </xf>
    <xf numFmtId="0" fontId="41" fillId="31" borderId="0" xfId="0" applyFont="1" applyFill="1"/>
    <xf numFmtId="0" fontId="42" fillId="31" borderId="0" xfId="0" applyFont="1" applyFill="1"/>
    <xf numFmtId="0" fontId="45" fillId="31" borderId="0" xfId="0" applyFont="1" applyFill="1"/>
    <xf numFmtId="0" fontId="0" fillId="31" borderId="0" xfId="0" applyFill="1"/>
    <xf numFmtId="0" fontId="45" fillId="0" borderId="1" xfId="57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vertical="center" wrapText="1"/>
    </xf>
    <xf numFmtId="0" fontId="43" fillId="0" borderId="1" xfId="0" applyFont="1" applyFill="1" applyBorder="1"/>
    <xf numFmtId="0" fontId="41" fillId="31" borderId="0" xfId="0" applyFont="1" applyFill="1" applyBorder="1"/>
    <xf numFmtId="0" fontId="42" fillId="31" borderId="0" xfId="0" applyFont="1" applyFill="1" applyBorder="1"/>
    <xf numFmtId="0" fontId="45" fillId="31" borderId="0" xfId="0" applyFont="1" applyFill="1" applyBorder="1"/>
    <xf numFmtId="0" fontId="0" fillId="31" borderId="0" xfId="0" applyFill="1" applyBorder="1"/>
    <xf numFmtId="0" fontId="43" fillId="0" borderId="0" xfId="0" applyFont="1" applyFill="1" applyBorder="1"/>
    <xf numFmtId="164" fontId="44" fillId="0" borderId="0" xfId="2" applyNumberFormat="1" applyFont="1" applyFill="1" applyBorder="1"/>
    <xf numFmtId="0" fontId="45" fillId="0" borderId="24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23" fillId="0" borderId="0" xfId="49" applyFont="1" applyFill="1"/>
    <xf numFmtId="0" fontId="41" fillId="28" borderId="0" xfId="0" applyFont="1" applyFill="1"/>
    <xf numFmtId="0" fontId="42" fillId="28" borderId="0" xfId="0" applyFont="1" applyFill="1"/>
    <xf numFmtId="0" fontId="48" fillId="28" borderId="0" xfId="0" applyFont="1" applyFill="1"/>
    <xf numFmtId="0" fontId="48" fillId="28" borderId="1" xfId="0" applyFont="1" applyFill="1" applyBorder="1" applyAlignment="1">
      <alignment textRotation="90"/>
    </xf>
    <xf numFmtId="0" fontId="49" fillId="28" borderId="1" xfId="0" applyFont="1" applyFill="1" applyBorder="1" applyAlignment="1">
      <alignment horizontal="center" vertical="center" wrapText="1"/>
    </xf>
    <xf numFmtId="164" fontId="49" fillId="28" borderId="1" xfId="2" applyNumberFormat="1" applyFont="1" applyFill="1" applyBorder="1" applyAlignment="1">
      <alignment horizontal="center" vertical="center" wrapText="1"/>
    </xf>
    <xf numFmtId="0" fontId="48" fillId="28" borderId="1" xfId="0" applyFont="1" applyFill="1" applyBorder="1"/>
    <xf numFmtId="0" fontId="64" fillId="28" borderId="71" xfId="0" applyFont="1" applyFill="1" applyBorder="1" applyAlignment="1">
      <alignment horizontal="left" vertical="center" wrapText="1"/>
    </xf>
    <xf numFmtId="0" fontId="64" fillId="28" borderId="72" xfId="0" applyFont="1" applyFill="1" applyBorder="1" applyAlignment="1">
      <alignment horizontal="left" vertical="center" wrapText="1"/>
    </xf>
    <xf numFmtId="164" fontId="0" fillId="28" borderId="0" xfId="0" applyNumberFormat="1" applyFill="1"/>
    <xf numFmtId="0" fontId="64" fillId="28" borderId="72" xfId="0" applyFont="1" applyFill="1" applyBorder="1" applyAlignment="1">
      <alignment horizontal="left" vertical="center"/>
    </xf>
    <xf numFmtId="0" fontId="64" fillId="28" borderId="73" xfId="0" applyFont="1" applyFill="1" applyBorder="1" applyAlignment="1">
      <alignment vertical="center" wrapText="1"/>
    </xf>
    <xf numFmtId="0" fontId="48" fillId="28" borderId="11" xfId="0" applyFont="1" applyFill="1" applyBorder="1"/>
    <xf numFmtId="0" fontId="64" fillId="28" borderId="71" xfId="0" applyFont="1" applyFill="1" applyBorder="1" applyAlignment="1">
      <alignment vertical="center" wrapText="1"/>
    </xf>
    <xf numFmtId="0" fontId="64" fillId="28" borderId="72" xfId="0" applyFont="1" applyFill="1" applyBorder="1" applyAlignment="1">
      <alignment vertical="center" wrapText="1"/>
    </xf>
    <xf numFmtId="0" fontId="54" fillId="28" borderId="72" xfId="0" applyFont="1" applyFill="1" applyBorder="1" applyAlignment="1">
      <alignment wrapText="1"/>
    </xf>
    <xf numFmtId="0" fontId="50" fillId="28" borderId="72" xfId="0" applyFont="1" applyFill="1" applyBorder="1" applyAlignment="1">
      <alignment wrapText="1"/>
    </xf>
    <xf numFmtId="0" fontId="48" fillId="28" borderId="72" xfId="0" applyFont="1" applyFill="1" applyBorder="1" applyAlignment="1">
      <alignment wrapText="1"/>
    </xf>
    <xf numFmtId="0" fontId="48" fillId="28" borderId="74" xfId="0" applyFont="1" applyFill="1" applyBorder="1" applyAlignment="1">
      <alignment wrapText="1"/>
    </xf>
    <xf numFmtId="0" fontId="48" fillId="28" borderId="73" xfId="0" applyFont="1" applyFill="1" applyBorder="1" applyAlignment="1">
      <alignment wrapText="1"/>
    </xf>
    <xf numFmtId="164" fontId="0" fillId="28" borderId="0" xfId="2" applyNumberFormat="1" applyFont="1" applyFill="1"/>
    <xf numFmtId="0" fontId="48" fillId="28" borderId="71" xfId="0" applyFont="1" applyFill="1" applyBorder="1" applyAlignment="1">
      <alignment wrapText="1"/>
    </xf>
    <xf numFmtId="0" fontId="48" fillId="28" borderId="75" xfId="0" applyFont="1" applyFill="1" applyBorder="1" applyAlignment="1">
      <alignment wrapText="1"/>
    </xf>
    <xf numFmtId="0" fontId="119" fillId="32" borderId="76" xfId="49" applyFont="1" applyFill="1" applyBorder="1" applyAlignment="1">
      <alignment horizontal="center" vertical="top" wrapText="1"/>
    </xf>
    <xf numFmtId="0" fontId="120" fillId="0" borderId="76" xfId="49" applyFont="1" applyBorder="1" applyAlignment="1">
      <alignment horizontal="left" vertical="top" wrapText="1"/>
    </xf>
    <xf numFmtId="3" fontId="120" fillId="0" borderId="76" xfId="49" applyNumberFormat="1" applyFont="1" applyBorder="1" applyAlignment="1">
      <alignment horizontal="right" vertical="top" wrapText="1"/>
    </xf>
    <xf numFmtId="0" fontId="121" fillId="0" borderId="76" xfId="49" applyFont="1" applyBorder="1" applyAlignment="1">
      <alignment horizontal="left" vertical="top" wrapText="1"/>
    </xf>
    <xf numFmtId="3" fontId="121" fillId="0" borderId="76" xfId="49" applyNumberFormat="1" applyFont="1" applyBorder="1" applyAlignment="1">
      <alignment horizontal="right" vertical="top" wrapText="1"/>
    </xf>
    <xf numFmtId="0" fontId="121" fillId="0" borderId="77" xfId="49" applyFont="1" applyBorder="1" applyAlignment="1">
      <alignment horizontal="left" vertical="top" wrapText="1"/>
    </xf>
    <xf numFmtId="3" fontId="121" fillId="0" borderId="77" xfId="49" applyNumberFormat="1" applyFont="1" applyBorder="1" applyAlignment="1">
      <alignment horizontal="right" vertical="top" wrapText="1"/>
    </xf>
    <xf numFmtId="0" fontId="24" fillId="32" borderId="76" xfId="49" applyFont="1" applyFill="1" applyBorder="1" applyAlignment="1">
      <alignment horizontal="center" vertical="top" wrapText="1"/>
    </xf>
    <xf numFmtId="0" fontId="120" fillId="0" borderId="76" xfId="49" applyFont="1" applyBorder="1" applyAlignment="1">
      <alignment horizontal="center" vertical="top" wrapText="1"/>
    </xf>
    <xf numFmtId="0" fontId="121" fillId="0" borderId="76" xfId="49" applyFont="1" applyBorder="1" applyAlignment="1">
      <alignment horizontal="center" vertical="top" wrapText="1"/>
    </xf>
    <xf numFmtId="0" fontId="121" fillId="0" borderId="77" xfId="49" applyFont="1" applyBorder="1" applyAlignment="1">
      <alignment horizontal="center" vertical="top" wrapText="1"/>
    </xf>
    <xf numFmtId="0" fontId="23" fillId="0" borderId="78" xfId="49" applyBorder="1"/>
    <xf numFmtId="0" fontId="23" fillId="0" borderId="79" xfId="49" applyBorder="1"/>
    <xf numFmtId="0" fontId="23" fillId="0" borderId="80" xfId="49" applyBorder="1"/>
    <xf numFmtId="0" fontId="23" fillId="0" borderId="0" xfId="49"/>
    <xf numFmtId="0" fontId="123" fillId="25" borderId="0" xfId="83" applyFont="1" applyFill="1" applyBorder="1" applyAlignment="1"/>
    <xf numFmtId="0" fontId="64" fillId="25" borderId="0" xfId="49" applyFont="1" applyFill="1"/>
    <xf numFmtId="0" fontId="124" fillId="25" borderId="0" xfId="83" applyFont="1" applyFill="1" applyBorder="1" applyAlignment="1">
      <alignment horizontal="left" vertical="center" wrapText="1"/>
    </xf>
    <xf numFmtId="173" fontId="64" fillId="25" borderId="81" xfId="84" applyNumberFormat="1" applyFont="1" applyFill="1" applyBorder="1" applyAlignment="1" applyProtection="1"/>
    <xf numFmtId="0" fontId="65" fillId="25" borderId="81" xfId="85" applyFont="1" applyFill="1" applyBorder="1"/>
    <xf numFmtId="0" fontId="64" fillId="25" borderId="81" xfId="85" applyFont="1" applyFill="1" applyBorder="1" applyAlignment="1">
      <alignment horizontal="center"/>
    </xf>
    <xf numFmtId="173" fontId="125" fillId="25" borderId="1" xfId="84" applyNumberFormat="1" applyFont="1" applyFill="1" applyBorder="1" applyAlignment="1" applyProtection="1">
      <alignment vertical="center"/>
    </xf>
    <xf numFmtId="173" fontId="65" fillId="25" borderId="1" xfId="84" applyNumberFormat="1" applyFont="1" applyFill="1" applyBorder="1" applyAlignment="1" applyProtection="1">
      <alignment vertical="center"/>
    </xf>
    <xf numFmtId="173" fontId="126" fillId="25" borderId="73" xfId="84" applyNumberFormat="1" applyFont="1" applyFill="1" applyBorder="1" applyAlignment="1" applyProtection="1">
      <alignment vertical="center"/>
    </xf>
    <xf numFmtId="173" fontId="64" fillId="25" borderId="14" xfId="84" applyNumberFormat="1" applyFont="1" applyFill="1" applyBorder="1" applyAlignment="1" applyProtection="1">
      <alignment vertical="center"/>
    </xf>
    <xf numFmtId="173" fontId="64" fillId="25" borderId="77" xfId="84" applyNumberFormat="1" applyFont="1" applyFill="1" applyBorder="1" applyAlignment="1" applyProtection="1">
      <alignment vertical="center"/>
    </xf>
    <xf numFmtId="173" fontId="126" fillId="25" borderId="12" xfId="84" applyNumberFormat="1" applyFont="1" applyFill="1" applyBorder="1" applyAlignment="1" applyProtection="1">
      <alignment vertical="center"/>
    </xf>
    <xf numFmtId="0" fontId="23" fillId="0" borderId="14" xfId="49" applyBorder="1"/>
    <xf numFmtId="0" fontId="23" fillId="0" borderId="77" xfId="49" applyBorder="1"/>
    <xf numFmtId="0" fontId="64" fillId="25" borderId="73" xfId="85" applyFont="1" applyFill="1" applyBorder="1" applyAlignment="1">
      <alignment horizontal="center" vertical="center"/>
    </xf>
    <xf numFmtId="0" fontId="23" fillId="0" borderId="0" xfId="49" applyFont="1"/>
    <xf numFmtId="173" fontId="64" fillId="25" borderId="71" xfId="84" applyNumberFormat="1" applyFont="1" applyFill="1" applyBorder="1" applyAlignment="1" applyProtection="1">
      <alignment vertical="center"/>
    </xf>
    <xf numFmtId="173" fontId="64" fillId="25" borderId="4" xfId="84" applyNumberFormat="1" applyFont="1" applyFill="1" applyBorder="1" applyAlignment="1" applyProtection="1">
      <alignment vertical="center"/>
    </xf>
    <xf numFmtId="173" fontId="64" fillId="25" borderId="3" xfId="84" applyNumberFormat="1" applyFont="1" applyFill="1" applyBorder="1" applyAlignment="1" applyProtection="1">
      <alignment vertical="center"/>
    </xf>
    <xf numFmtId="173" fontId="64" fillId="25" borderId="2" xfId="84" applyNumberFormat="1" applyFont="1" applyFill="1" applyBorder="1" applyAlignment="1" applyProtection="1">
      <alignment vertical="center"/>
    </xf>
    <xf numFmtId="0" fontId="64" fillId="25" borderId="82" xfId="85" applyFont="1" applyFill="1" applyBorder="1" applyAlignment="1">
      <alignment horizontal="center" vertical="center"/>
    </xf>
    <xf numFmtId="0" fontId="124" fillId="25" borderId="1" xfId="83" applyFont="1" applyFill="1" applyBorder="1" applyAlignment="1">
      <alignment horizontal="center" vertical="center" wrapText="1"/>
    </xf>
    <xf numFmtId="0" fontId="64" fillId="25" borderId="83" xfId="49" applyFont="1" applyFill="1" applyBorder="1" applyAlignment="1">
      <alignment horizontal="center" vertical="center" wrapText="1"/>
    </xf>
    <xf numFmtId="0" fontId="124" fillId="25" borderId="36" xfId="83" applyFont="1" applyFill="1" applyBorder="1" applyAlignment="1">
      <alignment horizontal="center" vertical="center" wrapText="1"/>
    </xf>
    <xf numFmtId="0" fontId="124" fillId="25" borderId="84" xfId="83" applyFont="1" applyFill="1" applyBorder="1" applyAlignment="1">
      <alignment horizontal="center" vertical="center" wrapText="1"/>
    </xf>
    <xf numFmtId="0" fontId="124" fillId="25" borderId="85" xfId="83" applyFont="1" applyFill="1" applyBorder="1" applyAlignment="1">
      <alignment horizontal="center" vertical="center" wrapText="1"/>
    </xf>
    <xf numFmtId="0" fontId="124" fillId="25" borderId="87" xfId="83" applyFont="1" applyFill="1" applyBorder="1" applyAlignment="1">
      <alignment horizontal="center" vertical="center" textRotation="90"/>
    </xf>
    <xf numFmtId="0" fontId="124" fillId="25" borderId="0" xfId="83" applyFont="1" applyFill="1" applyBorder="1" applyAlignment="1"/>
    <xf numFmtId="0" fontId="124" fillId="25" borderId="0" xfId="83" applyFont="1" applyFill="1" applyBorder="1" applyAlignment="1">
      <alignment horizontal="left"/>
    </xf>
    <xf numFmtId="173" fontId="65" fillId="0" borderId="1" xfId="84" applyNumberFormat="1" applyFont="1" applyFill="1" applyBorder="1" applyAlignment="1">
      <alignment horizontal="right"/>
    </xf>
    <xf numFmtId="173" fontId="65" fillId="25" borderId="1" xfId="84" applyNumberFormat="1" applyFont="1" applyFill="1" applyBorder="1" applyAlignment="1">
      <alignment horizontal="right"/>
    </xf>
    <xf numFmtId="173" fontId="65" fillId="25" borderId="11" xfId="84" applyNumberFormat="1" applyFont="1" applyFill="1" applyBorder="1" applyAlignment="1">
      <alignment horizontal="right"/>
    </xf>
    <xf numFmtId="173" fontId="125" fillId="25" borderId="73" xfId="84" applyNumberFormat="1" applyFont="1" applyFill="1" applyBorder="1" applyAlignment="1" applyProtection="1">
      <alignment vertical="center"/>
    </xf>
    <xf numFmtId="173" fontId="64" fillId="0" borderId="14" xfId="84" applyNumberFormat="1" applyFont="1" applyFill="1" applyBorder="1" applyAlignment="1">
      <alignment horizontal="right"/>
    </xf>
    <xf numFmtId="173" fontId="64" fillId="0" borderId="77" xfId="84" applyNumberFormat="1" applyFont="1" applyFill="1" applyBorder="1" applyAlignment="1">
      <alignment horizontal="right"/>
    </xf>
    <xf numFmtId="173" fontId="64" fillId="0" borderId="12" xfId="84" applyNumberFormat="1" applyFont="1" applyFill="1" applyBorder="1" applyAlignment="1">
      <alignment horizontal="right"/>
    </xf>
    <xf numFmtId="173" fontId="125" fillId="25" borderId="14" xfId="84" applyNumberFormat="1" applyFont="1" applyFill="1" applyBorder="1" applyAlignment="1" applyProtection="1">
      <alignment vertical="center"/>
    </xf>
    <xf numFmtId="173" fontId="125" fillId="25" borderId="77" xfId="84" applyNumberFormat="1" applyFont="1" applyFill="1" applyBorder="1" applyAlignment="1" applyProtection="1">
      <alignment vertical="center"/>
    </xf>
    <xf numFmtId="173" fontId="125" fillId="25" borderId="12" xfId="84" applyNumberFormat="1" applyFont="1" applyFill="1" applyBorder="1" applyAlignment="1" applyProtection="1">
      <alignment vertical="center"/>
    </xf>
    <xf numFmtId="0" fontId="124" fillId="25" borderId="73" xfId="83" applyFont="1" applyFill="1" applyBorder="1" applyAlignment="1">
      <alignment horizontal="center" vertical="center"/>
    </xf>
    <xf numFmtId="173" fontId="125" fillId="25" borderId="72" xfId="84" applyNumberFormat="1" applyFont="1" applyFill="1" applyBorder="1" applyAlignment="1" applyProtection="1">
      <alignment vertical="center"/>
    </xf>
    <xf numFmtId="173" fontId="64" fillId="0" borderId="7" xfId="84" applyNumberFormat="1" applyFont="1" applyFill="1" applyBorder="1" applyAlignment="1">
      <alignment horizontal="right"/>
    </xf>
    <xf numFmtId="173" fontId="64" fillId="0" borderId="76" xfId="84" applyNumberFormat="1" applyFont="1" applyFill="1" applyBorder="1" applyAlignment="1">
      <alignment horizontal="right"/>
    </xf>
    <xf numFmtId="173" fontId="64" fillId="0" borderId="5" xfId="84" applyNumberFormat="1" applyFont="1" applyFill="1" applyBorder="1" applyAlignment="1">
      <alignment horizontal="right"/>
    </xf>
    <xf numFmtId="173" fontId="125" fillId="25" borderId="7" xfId="84" applyNumberFormat="1" applyFont="1" applyFill="1" applyBorder="1" applyAlignment="1" applyProtection="1">
      <alignment vertical="center"/>
    </xf>
    <xf numFmtId="173" fontId="125" fillId="25" borderId="76" xfId="84" applyNumberFormat="1" applyFont="1" applyFill="1" applyBorder="1" applyAlignment="1" applyProtection="1">
      <alignment vertical="center"/>
    </xf>
    <xf numFmtId="173" fontId="125" fillId="25" borderId="5" xfId="84" applyNumberFormat="1" applyFont="1" applyFill="1" applyBorder="1" applyAlignment="1" applyProtection="1">
      <alignment vertical="center"/>
    </xf>
    <xf numFmtId="0" fontId="124" fillId="25" borderId="72" xfId="83" applyFont="1" applyFill="1" applyBorder="1" applyAlignment="1">
      <alignment horizontal="center" vertical="center"/>
    </xf>
    <xf numFmtId="173" fontId="125" fillId="25" borderId="71" xfId="84" applyNumberFormat="1" applyFont="1" applyFill="1" applyBorder="1" applyAlignment="1" applyProtection="1">
      <alignment vertical="center"/>
    </xf>
    <xf numFmtId="173" fontId="64" fillId="0" borderId="4" xfId="84" applyNumberFormat="1" applyFont="1" applyFill="1" applyBorder="1" applyAlignment="1">
      <alignment horizontal="right"/>
    </xf>
    <xf numFmtId="173" fontId="64" fillId="0" borderId="3" xfId="84" applyNumberFormat="1" applyFont="1" applyFill="1" applyBorder="1" applyAlignment="1">
      <alignment horizontal="right"/>
    </xf>
    <xf numFmtId="173" fontId="64" fillId="0" borderId="2" xfId="84" applyNumberFormat="1" applyFont="1" applyFill="1" applyBorder="1" applyAlignment="1">
      <alignment horizontal="right"/>
    </xf>
    <xf numFmtId="173" fontId="125" fillId="25" borderId="4" xfId="84" applyNumberFormat="1" applyFont="1" applyFill="1" applyBorder="1" applyAlignment="1" applyProtection="1">
      <alignment vertical="center"/>
    </xf>
    <xf numFmtId="173" fontId="125" fillId="25" borderId="3" xfId="84" applyNumberFormat="1" applyFont="1" applyFill="1" applyBorder="1" applyAlignment="1" applyProtection="1">
      <alignment vertical="center"/>
    </xf>
    <xf numFmtId="173" fontId="125" fillId="25" borderId="2" xfId="84" applyNumberFormat="1" applyFont="1" applyFill="1" applyBorder="1" applyAlignment="1" applyProtection="1">
      <alignment vertical="center"/>
    </xf>
    <xf numFmtId="0" fontId="124" fillId="25" borderId="71" xfId="83" applyFont="1" applyFill="1" applyBorder="1" applyAlignment="1">
      <alignment horizontal="center" vertical="center"/>
    </xf>
    <xf numFmtId="0" fontId="124" fillId="25" borderId="1" xfId="83" applyFont="1" applyFill="1" applyBorder="1" applyAlignment="1">
      <alignment horizontal="center" wrapText="1"/>
    </xf>
    <xf numFmtId="0" fontId="64" fillId="25" borderId="1" xfId="49" applyFont="1" applyFill="1" applyBorder="1"/>
    <xf numFmtId="0" fontId="64" fillId="25" borderId="71" xfId="49" applyFont="1" applyFill="1" applyBorder="1" applyAlignment="1">
      <alignment horizontal="center" vertical="center" wrapText="1"/>
    </xf>
    <xf numFmtId="0" fontId="124" fillId="25" borderId="90" xfId="83" applyFont="1" applyFill="1" applyBorder="1" applyAlignment="1">
      <alignment horizontal="center" vertical="center" wrapText="1"/>
    </xf>
    <xf numFmtId="0" fontId="124" fillId="25" borderId="1" xfId="83" applyFont="1" applyFill="1" applyBorder="1" applyAlignment="1">
      <alignment horizontal="center" vertical="center" textRotation="90"/>
    </xf>
    <xf numFmtId="0" fontId="64" fillId="25" borderId="0" xfId="83" applyFont="1" applyFill="1"/>
    <xf numFmtId="0" fontId="123" fillId="25" borderId="33" xfId="83" applyFont="1" applyFill="1" applyBorder="1" applyAlignment="1"/>
    <xf numFmtId="0" fontId="123" fillId="25" borderId="91" xfId="83" applyFont="1" applyFill="1" applyBorder="1" applyAlignment="1"/>
    <xf numFmtId="173" fontId="124" fillId="25" borderId="0" xfId="83" applyNumberFormat="1" applyFont="1" applyFill="1" applyBorder="1" applyAlignment="1">
      <alignment horizontal="left"/>
    </xf>
    <xf numFmtId="0" fontId="124" fillId="25" borderId="81" xfId="83" applyFont="1" applyFill="1" applyBorder="1" applyAlignment="1">
      <alignment horizontal="left"/>
    </xf>
    <xf numFmtId="0" fontId="124" fillId="25" borderId="81" xfId="83" applyFont="1" applyFill="1" applyBorder="1" applyAlignment="1">
      <alignment horizontal="center"/>
    </xf>
    <xf numFmtId="173" fontId="123" fillId="25" borderId="92" xfId="83" applyNumberFormat="1" applyFont="1" applyFill="1" applyBorder="1" applyAlignment="1">
      <alignment horizontal="left"/>
    </xf>
    <xf numFmtId="173" fontId="123" fillId="25" borderId="93" xfId="83" applyNumberFormat="1" applyFont="1" applyFill="1" applyBorder="1" applyAlignment="1">
      <alignment horizontal="left"/>
    </xf>
    <xf numFmtId="173" fontId="123" fillId="25" borderId="94" xfId="83" applyNumberFormat="1" applyFont="1" applyFill="1" applyBorder="1" applyAlignment="1">
      <alignment horizontal="left"/>
    </xf>
    <xf numFmtId="173" fontId="123" fillId="25" borderId="95" xfId="83" applyNumberFormat="1" applyFont="1" applyFill="1" applyBorder="1" applyAlignment="1">
      <alignment horizontal="left"/>
    </xf>
    <xf numFmtId="173" fontId="125" fillId="25" borderId="97" xfId="84" applyNumberFormat="1" applyFont="1" applyFill="1" applyBorder="1" applyAlignment="1" applyProtection="1">
      <alignment vertical="center"/>
    </xf>
    <xf numFmtId="173" fontId="125" fillId="25" borderId="98" xfId="84" applyNumberFormat="1" applyFont="1" applyFill="1" applyBorder="1" applyAlignment="1" applyProtection="1">
      <alignment vertical="center"/>
    </xf>
    <xf numFmtId="173" fontId="125" fillId="25" borderId="63" xfId="84" applyNumberFormat="1" applyFont="1" applyFill="1" applyBorder="1" applyAlignment="1" applyProtection="1">
      <alignment vertical="center"/>
    </xf>
    <xf numFmtId="173" fontId="125" fillId="25" borderId="62" xfId="84" applyNumberFormat="1" applyFont="1" applyFill="1" applyBorder="1" applyAlignment="1" applyProtection="1">
      <alignment vertical="center"/>
    </xf>
    <xf numFmtId="173" fontId="125" fillId="25" borderId="61" xfId="84" applyNumberFormat="1" applyFont="1" applyFill="1" applyBorder="1" applyAlignment="1" applyProtection="1">
      <alignment vertical="center"/>
    </xf>
    <xf numFmtId="0" fontId="124" fillId="25" borderId="100" xfId="83" applyFont="1" applyFill="1" applyBorder="1" applyAlignment="1">
      <alignment horizontal="center" vertical="center"/>
    </xf>
    <xf numFmtId="173" fontId="125" fillId="25" borderId="101" xfId="84" applyNumberFormat="1" applyFont="1" applyFill="1" applyBorder="1" applyAlignment="1" applyProtection="1">
      <alignment vertical="center"/>
    </xf>
    <xf numFmtId="173" fontId="125" fillId="25" borderId="102" xfId="84" applyNumberFormat="1" applyFont="1" applyFill="1" applyBorder="1" applyAlignment="1" applyProtection="1">
      <alignment vertical="center"/>
    </xf>
    <xf numFmtId="173" fontId="125" fillId="25" borderId="44" xfId="84" applyNumberFormat="1" applyFont="1" applyFill="1" applyBorder="1" applyAlignment="1" applyProtection="1">
      <alignment vertical="center"/>
    </xf>
    <xf numFmtId="173" fontId="125" fillId="25" borderId="42" xfId="84" applyNumberFormat="1" applyFont="1" applyFill="1" applyBorder="1" applyAlignment="1" applyProtection="1">
      <alignment vertical="center"/>
    </xf>
    <xf numFmtId="173" fontId="125" fillId="25" borderId="60" xfId="84" applyNumberFormat="1" applyFont="1" applyFill="1" applyBorder="1" applyAlignment="1" applyProtection="1">
      <alignment vertical="center"/>
    </xf>
    <xf numFmtId="0" fontId="124" fillId="25" borderId="103" xfId="83" applyFont="1" applyFill="1" applyBorder="1" applyAlignment="1">
      <alignment horizontal="center" vertical="center"/>
    </xf>
    <xf numFmtId="173" fontId="125" fillId="25" borderId="104" xfId="84" applyNumberFormat="1" applyFont="1" applyFill="1" applyBorder="1" applyAlignment="1" applyProtection="1">
      <alignment vertical="center"/>
    </xf>
    <xf numFmtId="173" fontId="125" fillId="25" borderId="105" xfId="84" applyNumberFormat="1" applyFont="1" applyFill="1" applyBorder="1" applyAlignment="1" applyProtection="1">
      <alignment vertical="center"/>
    </xf>
    <xf numFmtId="173" fontId="64" fillId="25" borderId="59" xfId="84" applyNumberFormat="1" applyFont="1" applyFill="1" applyBorder="1" applyAlignment="1" applyProtection="1">
      <alignment vertical="center"/>
    </xf>
    <xf numFmtId="173" fontId="64" fillId="25" borderId="58" xfId="84" applyNumberFormat="1" applyFont="1" applyFill="1" applyBorder="1" applyAlignment="1" applyProtection="1">
      <alignment vertical="center"/>
    </xf>
    <xf numFmtId="173" fontId="125" fillId="25" borderId="57" xfId="84" applyNumberFormat="1" applyFont="1" applyFill="1" applyBorder="1" applyAlignment="1" applyProtection="1">
      <alignment vertical="center"/>
    </xf>
    <xf numFmtId="173" fontId="125" fillId="25" borderId="59" xfId="84" applyNumberFormat="1" applyFont="1" applyFill="1" applyBorder="1" applyAlignment="1" applyProtection="1">
      <alignment vertical="center"/>
    </xf>
    <xf numFmtId="173" fontId="125" fillId="25" borderId="58" xfId="84" applyNumberFormat="1" applyFont="1" applyFill="1" applyBorder="1" applyAlignment="1" applyProtection="1">
      <alignment vertical="center"/>
    </xf>
    <xf numFmtId="0" fontId="124" fillId="25" borderId="107" xfId="83" applyFont="1" applyFill="1" applyBorder="1" applyAlignment="1">
      <alignment horizontal="center" vertical="center"/>
    </xf>
    <xf numFmtId="0" fontId="124" fillId="25" borderId="35" xfId="83" applyFont="1" applyFill="1" applyBorder="1" applyAlignment="1">
      <alignment horizontal="center" vertical="center" wrapText="1"/>
    </xf>
    <xf numFmtId="0" fontId="64" fillId="25" borderId="0" xfId="49" applyFont="1" applyFill="1" applyAlignment="1">
      <alignment horizontal="right"/>
    </xf>
    <xf numFmtId="0" fontId="123" fillId="25" borderId="108" xfId="83" applyFont="1" applyFill="1" applyBorder="1" applyAlignment="1"/>
    <xf numFmtId="0" fontId="88" fillId="0" borderId="1" xfId="74" applyFont="1" applyFill="1" applyBorder="1" applyAlignment="1" applyProtection="1">
      <alignment horizontal="center" vertical="center" wrapText="1"/>
    </xf>
    <xf numFmtId="0" fontId="111" fillId="0" borderId="42" xfId="73" applyFont="1" applyFill="1" applyBorder="1" applyAlignment="1">
      <alignment horizontal="center" vertical="center" wrapText="1"/>
    </xf>
    <xf numFmtId="0" fontId="88" fillId="0" borderId="1" xfId="74" applyFont="1" applyFill="1" applyBorder="1" applyAlignment="1" applyProtection="1">
      <alignment vertical="center" wrapText="1"/>
    </xf>
    <xf numFmtId="14" fontId="55" fillId="0" borderId="1" xfId="0" applyNumberFormat="1" applyFont="1" applyBorder="1" applyAlignment="1">
      <alignment horizontal="right"/>
    </xf>
    <xf numFmtId="14" fontId="55" fillId="0" borderId="1" xfId="0" applyNumberFormat="1" applyFont="1" applyFill="1" applyBorder="1" applyAlignment="1">
      <alignment horizontal="right"/>
    </xf>
    <xf numFmtId="175" fontId="0" fillId="0" borderId="1" xfId="0" applyNumberFormat="1" applyBorder="1"/>
    <xf numFmtId="2" fontId="0" fillId="0" borderId="1" xfId="0" applyNumberFormat="1" applyBorder="1"/>
    <xf numFmtId="0" fontId="107" fillId="33" borderId="1" xfId="0" applyFont="1" applyFill="1" applyBorder="1" applyAlignment="1">
      <alignment horizontal="center" vertical="center" wrapText="1"/>
    </xf>
    <xf numFmtId="0" fontId="54" fillId="0" borderId="0" xfId="0" applyFont="1"/>
    <xf numFmtId="0" fontId="128" fillId="33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54" fillId="33" borderId="1" xfId="0" applyFont="1" applyFill="1" applyBorder="1" applyAlignment="1">
      <alignment horizontal="center" vertical="center" wrapText="1"/>
    </xf>
    <xf numFmtId="0" fontId="128" fillId="34" borderId="1" xfId="0" applyFont="1" applyFill="1" applyBorder="1" applyAlignment="1">
      <alignment horizontal="center" vertical="center" wrapText="1"/>
    </xf>
    <xf numFmtId="0" fontId="54" fillId="34" borderId="1" xfId="0" applyFont="1" applyFill="1" applyBorder="1" applyAlignment="1">
      <alignment horizontal="center" vertical="center" wrapText="1"/>
    </xf>
    <xf numFmtId="0" fontId="48" fillId="0" borderId="0" xfId="0" applyFont="1"/>
    <xf numFmtId="0" fontId="48" fillId="28" borderId="11" xfId="0" applyFont="1" applyFill="1" applyBorder="1" applyAlignment="1">
      <alignment horizontal="center" vertical="center" textRotation="90"/>
    </xf>
    <xf numFmtId="164" fontId="45" fillId="0" borderId="6" xfId="2" applyNumberFormat="1" applyFont="1" applyFill="1" applyBorder="1" applyAlignment="1">
      <alignment vertical="center"/>
    </xf>
    <xf numFmtId="0" fontId="49" fillId="28" borderId="1" xfId="0" applyFont="1" applyFill="1" applyBorder="1" applyAlignment="1">
      <alignment horizontal="center"/>
    </xf>
    <xf numFmtId="164" fontId="44" fillId="28" borderId="76" xfId="2" applyNumberFormat="1" applyFont="1" applyFill="1" applyBorder="1" applyAlignment="1">
      <alignment vertical="center"/>
    </xf>
    <xf numFmtId="164" fontId="58" fillId="28" borderId="7" xfId="2" applyNumberFormat="1" applyFont="1" applyFill="1" applyBorder="1" applyAlignment="1">
      <alignment horizontal="center" vertical="center"/>
    </xf>
    <xf numFmtId="0" fontId="118" fillId="28" borderId="0" xfId="0" applyFont="1" applyFill="1"/>
    <xf numFmtId="0" fontId="42" fillId="0" borderId="5" xfId="0" applyFont="1" applyFill="1" applyBorder="1" applyAlignment="1">
      <alignment horizontal="center"/>
    </xf>
    <xf numFmtId="164" fontId="42" fillId="0" borderId="6" xfId="2" applyNumberFormat="1" applyFont="1" applyFill="1" applyBorder="1" applyAlignment="1">
      <alignment horizontal="center" vertical="center"/>
    </xf>
    <xf numFmtId="164" fontId="42" fillId="0" borderId="7" xfId="2" applyNumberFormat="1" applyFont="1" applyFill="1" applyBorder="1" applyAlignment="1">
      <alignment horizontal="center" vertical="center"/>
    </xf>
    <xf numFmtId="0" fontId="0" fillId="0" borderId="0" xfId="0" applyFont="1" applyFill="1"/>
    <xf numFmtId="165" fontId="48" fillId="28" borderId="1" xfId="1" applyNumberFormat="1" applyFont="1" applyFill="1" applyBorder="1" applyAlignment="1">
      <alignment horizontal="center" vertical="center" wrapText="1"/>
    </xf>
    <xf numFmtId="165" fontId="51" fillId="28" borderId="1" xfId="1" applyNumberFormat="1" applyFont="1" applyFill="1" applyBorder="1" applyAlignment="1">
      <alignment vertical="center" wrapText="1"/>
    </xf>
    <xf numFmtId="0" fontId="51" fillId="28" borderId="1" xfId="0" applyFont="1" applyFill="1" applyBorder="1" applyAlignment="1">
      <alignment vertical="center" wrapText="1"/>
    </xf>
    <xf numFmtId="0" fontId="48" fillId="28" borderId="1" xfId="0" applyFont="1" applyFill="1" applyBorder="1" applyAlignment="1">
      <alignment vertical="center" wrapText="1"/>
    </xf>
    <xf numFmtId="0" fontId="108" fillId="28" borderId="1" xfId="0" applyFont="1" applyFill="1" applyBorder="1" applyAlignment="1">
      <alignment vertical="center" wrapText="1"/>
    </xf>
    <xf numFmtId="165" fontId="48" fillId="28" borderId="1" xfId="1" applyNumberFormat="1" applyFont="1" applyFill="1" applyBorder="1" applyAlignment="1">
      <alignment vertical="center" wrapText="1"/>
    </xf>
    <xf numFmtId="165" fontId="50" fillId="28" borderId="1" xfId="1" applyNumberFormat="1" applyFont="1" applyFill="1" applyBorder="1" applyAlignment="1">
      <alignment vertical="center" wrapText="1"/>
    </xf>
    <xf numFmtId="0" fontId="51" fillId="28" borderId="1" xfId="0" applyFont="1" applyFill="1" applyBorder="1" applyAlignment="1">
      <alignment horizontal="left" vertical="center" wrapText="1"/>
    </xf>
    <xf numFmtId="0" fontId="108" fillId="28" borderId="1" xfId="0" applyFont="1" applyFill="1" applyBorder="1" applyAlignment="1">
      <alignment horizontal="center" vertical="center" wrapText="1"/>
    </xf>
    <xf numFmtId="0" fontId="109" fillId="28" borderId="1" xfId="0" applyFont="1" applyFill="1" applyBorder="1" applyAlignment="1">
      <alignment vertical="center" wrapText="1"/>
    </xf>
    <xf numFmtId="174" fontId="0" fillId="28" borderId="0" xfId="0" applyNumberFormat="1" applyFill="1" applyAlignment="1">
      <alignment horizontal="center" vertical="center"/>
    </xf>
    <xf numFmtId="0" fontId="0" fillId="28" borderId="1" xfId="0" applyFont="1" applyFill="1" applyBorder="1"/>
    <xf numFmtId="165" fontId="81" fillId="28" borderId="0" xfId="0" applyNumberFormat="1" applyFont="1" applyFill="1"/>
    <xf numFmtId="0" fontId="122" fillId="32" borderId="110" xfId="49" applyFont="1" applyFill="1" applyBorder="1" applyAlignment="1">
      <alignment horizontal="center" vertical="top" wrapText="1"/>
    </xf>
    <xf numFmtId="0" fontId="119" fillId="32" borderId="110" xfId="49" applyFont="1" applyFill="1" applyBorder="1" applyAlignment="1">
      <alignment horizontal="center" vertical="top" wrapText="1"/>
    </xf>
    <xf numFmtId="0" fontId="120" fillId="0" borderId="110" xfId="49" applyFont="1" applyBorder="1" applyAlignment="1">
      <alignment horizontal="center" vertical="top" wrapText="1"/>
    </xf>
    <xf numFmtId="0" fontId="120" fillId="0" borderId="110" xfId="49" applyFont="1" applyBorder="1" applyAlignment="1">
      <alignment horizontal="left" vertical="top" wrapText="1"/>
    </xf>
    <xf numFmtId="3" fontId="120" fillId="0" borderId="110" xfId="49" applyNumberFormat="1" applyFont="1" applyBorder="1" applyAlignment="1">
      <alignment horizontal="right" vertical="top" wrapText="1"/>
    </xf>
    <xf numFmtId="0" fontId="121" fillId="0" borderId="110" xfId="49" applyFont="1" applyBorder="1" applyAlignment="1">
      <alignment horizontal="center" vertical="top" wrapText="1"/>
    </xf>
    <xf numFmtId="0" fontId="121" fillId="0" borderId="110" xfId="49" applyFont="1" applyBorder="1" applyAlignment="1">
      <alignment horizontal="left" vertical="top" wrapText="1"/>
    </xf>
    <xf numFmtId="3" fontId="121" fillId="0" borderId="110" xfId="49" applyNumberFormat="1" applyFont="1" applyBorder="1" applyAlignment="1">
      <alignment horizontal="right" vertical="top" wrapText="1"/>
    </xf>
    <xf numFmtId="0" fontId="129" fillId="25" borderId="0" xfId="49" applyFont="1" applyFill="1" applyBorder="1" applyAlignment="1">
      <alignment vertical="center" wrapText="1"/>
    </xf>
    <xf numFmtId="0" fontId="105" fillId="0" borderId="0" xfId="49" applyFont="1" applyAlignment="1">
      <alignment wrapText="1"/>
    </xf>
    <xf numFmtId="0" fontId="106" fillId="0" borderId="0" xfId="49" applyFont="1" applyAlignment="1">
      <alignment horizontal="center" vertical="center" wrapText="1"/>
    </xf>
    <xf numFmtId="0" fontId="105" fillId="0" borderId="33" xfId="49" applyFont="1" applyBorder="1" applyAlignment="1">
      <alignment wrapText="1"/>
    </xf>
    <xf numFmtId="0" fontId="105" fillId="0" borderId="33" xfId="49" applyFont="1" applyBorder="1" applyAlignment="1">
      <alignment horizontal="right" wrapText="1"/>
    </xf>
    <xf numFmtId="0" fontId="129" fillId="0" borderId="8" xfId="49" applyFont="1" applyBorder="1" applyAlignment="1">
      <alignment horizontal="center" vertical="center" wrapText="1"/>
    </xf>
    <xf numFmtId="0" fontId="129" fillId="0" borderId="29" xfId="49" applyFont="1" applyBorder="1" applyAlignment="1">
      <alignment horizontal="center" vertical="center" wrapText="1"/>
    </xf>
    <xf numFmtId="0" fontId="106" fillId="0" borderId="1" xfId="49" applyFont="1" applyBorder="1" applyAlignment="1">
      <alignment horizontal="center" vertical="center" wrapText="1"/>
    </xf>
    <xf numFmtId="0" fontId="106" fillId="0" borderId="29" xfId="49" applyFont="1" applyBorder="1" applyAlignment="1">
      <alignment horizontal="center" vertical="center" wrapText="1"/>
    </xf>
    <xf numFmtId="0" fontId="105" fillId="0" borderId="1" xfId="49" applyFont="1" applyBorder="1" applyAlignment="1">
      <alignment horizontal="center" vertical="center" wrapText="1"/>
    </xf>
    <xf numFmtId="0" fontId="54" fillId="25" borderId="1" xfId="49" applyFont="1" applyFill="1" applyBorder="1" applyAlignment="1">
      <alignment horizontal="left" vertical="center" wrapText="1"/>
    </xf>
    <xf numFmtId="0" fontId="107" fillId="25" borderId="1" xfId="49" applyFont="1" applyFill="1" applyBorder="1" applyAlignment="1">
      <alignment horizontal="left" vertical="center" wrapText="1"/>
    </xf>
    <xf numFmtId="165" fontId="54" fillId="25" borderId="1" xfId="1" applyNumberFormat="1" applyFont="1" applyFill="1" applyBorder="1" applyAlignment="1">
      <alignment horizontal="right" vertical="center" wrapText="1"/>
    </xf>
    <xf numFmtId="165" fontId="54" fillId="0" borderId="1" xfId="1" applyNumberFormat="1" applyFont="1" applyBorder="1" applyAlignment="1">
      <alignment horizontal="right" vertical="center" wrapText="1"/>
    </xf>
    <xf numFmtId="3" fontId="54" fillId="0" borderId="29" xfId="49" applyNumberFormat="1" applyFont="1" applyBorder="1" applyAlignment="1">
      <alignment vertical="center" wrapText="1"/>
    </xf>
    <xf numFmtId="0" fontId="54" fillId="25" borderId="1" xfId="49" applyFont="1" applyFill="1" applyBorder="1" applyAlignment="1">
      <alignment vertical="center" wrapText="1"/>
    </xf>
    <xf numFmtId="0" fontId="107" fillId="25" borderId="1" xfId="49" applyFont="1" applyFill="1" applyBorder="1" applyAlignment="1">
      <alignment vertical="center" wrapText="1"/>
    </xf>
    <xf numFmtId="165" fontId="107" fillId="25" borderId="1" xfId="1" applyNumberFormat="1" applyFont="1" applyFill="1" applyBorder="1" applyAlignment="1">
      <alignment horizontal="right" vertical="center" wrapText="1"/>
    </xf>
    <xf numFmtId="3" fontId="107" fillId="0" borderId="29" xfId="49" applyNumberFormat="1" applyFont="1" applyBorder="1" applyAlignment="1">
      <alignment vertical="center" wrapText="1"/>
    </xf>
    <xf numFmtId="0" fontId="106" fillId="0" borderId="0" xfId="49" applyFont="1" applyAlignment="1">
      <alignment wrapText="1"/>
    </xf>
    <xf numFmtId="165" fontId="107" fillId="0" borderId="1" xfId="1" applyNumberFormat="1" applyFont="1" applyBorder="1" applyAlignment="1">
      <alignment horizontal="right" vertical="center" wrapText="1"/>
    </xf>
    <xf numFmtId="0" fontId="54" fillId="25" borderId="1" xfId="78" applyFont="1" applyFill="1" applyBorder="1" applyAlignment="1">
      <alignment horizontal="left" vertical="center" wrapText="1"/>
    </xf>
    <xf numFmtId="0" fontId="131" fillId="25" borderId="1" xfId="78" applyFont="1" applyFill="1" applyBorder="1" applyAlignment="1">
      <alignment horizontal="left" vertical="center" wrapText="1"/>
    </xf>
    <xf numFmtId="165" fontId="132" fillId="25" borderId="1" xfId="1" applyNumberFormat="1" applyFont="1" applyFill="1" applyBorder="1" applyAlignment="1">
      <alignment horizontal="right" vertical="center" wrapText="1"/>
    </xf>
    <xf numFmtId="0" fontId="131" fillId="25" borderId="1" xfId="49" applyFont="1" applyFill="1" applyBorder="1" applyAlignment="1">
      <alignment horizontal="left" vertical="center" wrapText="1"/>
    </xf>
    <xf numFmtId="0" fontId="107" fillId="29" borderId="1" xfId="49" applyFont="1" applyFill="1" applyBorder="1" applyAlignment="1">
      <alignment horizontal="left" vertical="center" wrapText="1"/>
    </xf>
    <xf numFmtId="0" fontId="107" fillId="24" borderId="1" xfId="49" applyFont="1" applyFill="1" applyBorder="1" applyAlignment="1">
      <alignment horizontal="left" wrapText="1"/>
    </xf>
    <xf numFmtId="165" fontId="107" fillId="24" borderId="1" xfId="1" applyNumberFormat="1" applyFont="1" applyFill="1" applyBorder="1" applyAlignment="1">
      <alignment horizontal="right" wrapText="1"/>
    </xf>
    <xf numFmtId="3" fontId="107" fillId="0" borderId="11" xfId="49" applyNumberFormat="1" applyFont="1" applyBorder="1" applyAlignment="1">
      <alignment vertical="center" wrapText="1"/>
    </xf>
    <xf numFmtId="0" fontId="107" fillId="24" borderId="1" xfId="49" applyFont="1" applyFill="1" applyBorder="1" applyAlignment="1">
      <alignment horizontal="left" vertical="center" wrapText="1"/>
    </xf>
    <xf numFmtId="165" fontId="107" fillId="24" borderId="1" xfId="1" applyNumberFormat="1" applyFont="1" applyFill="1" applyBorder="1" applyAlignment="1">
      <alignment horizontal="right" vertical="center" wrapText="1"/>
    </xf>
    <xf numFmtId="0" fontId="106" fillId="0" borderId="0" xfId="49" applyFont="1" applyBorder="1" applyAlignment="1">
      <alignment horizontal="center" vertical="center" wrapText="1"/>
    </xf>
    <xf numFmtId="165" fontId="54" fillId="0" borderId="0" xfId="49" applyNumberFormat="1" applyFont="1" applyFill="1" applyBorder="1" applyAlignment="1">
      <alignment horizontal="right" vertical="center"/>
    </xf>
    <xf numFmtId="0" fontId="54" fillId="0" borderId="0" xfId="49" applyFont="1" applyFill="1" applyBorder="1" applyAlignment="1">
      <alignment horizontal="right" vertical="center"/>
    </xf>
    <xf numFmtId="165" fontId="107" fillId="0" borderId="0" xfId="49" applyNumberFormat="1" applyFont="1" applyFill="1" applyBorder="1" applyAlignment="1">
      <alignment horizontal="right" vertical="center"/>
    </xf>
    <xf numFmtId="0" fontId="107" fillId="0" borderId="0" xfId="49" applyFont="1" applyFill="1" applyBorder="1" applyAlignment="1">
      <alignment horizontal="right" vertical="center"/>
    </xf>
    <xf numFmtId="0" fontId="54" fillId="0" borderId="0" xfId="49" applyFont="1" applyFill="1" applyBorder="1" applyAlignment="1">
      <alignment horizontal="right" vertical="center" wrapText="1"/>
    </xf>
    <xf numFmtId="0" fontId="106" fillId="0" borderId="0" xfId="49" applyFont="1" applyAlignment="1">
      <alignment horizontal="center" wrapText="1"/>
    </xf>
    <xf numFmtId="165" fontId="105" fillId="0" borderId="0" xfId="49" applyNumberFormat="1" applyFont="1" applyAlignment="1">
      <alignment wrapText="1"/>
    </xf>
    <xf numFmtId="0" fontId="48" fillId="28" borderId="111" xfId="0" applyFont="1" applyFill="1" applyBorder="1" applyAlignment="1">
      <alignment wrapText="1"/>
    </xf>
    <xf numFmtId="0" fontId="50" fillId="0" borderId="0" xfId="79" applyFont="1" applyAlignment="1">
      <alignment vertical="center" wrapText="1"/>
    </xf>
    <xf numFmtId="165" fontId="50" fillId="0" borderId="0" xfId="1" applyNumberFormat="1" applyFont="1" applyFill="1" applyAlignment="1">
      <alignment vertical="center" wrapText="1"/>
    </xf>
    <xf numFmtId="3" fontId="50" fillId="0" borderId="0" xfId="79" applyNumberFormat="1" applyFont="1" applyFill="1" applyAlignment="1">
      <alignment vertical="center" wrapText="1"/>
    </xf>
    <xf numFmtId="3" fontId="50" fillId="0" borderId="28" xfId="79" applyNumberFormat="1" applyFont="1" applyFill="1" applyBorder="1" applyAlignment="1">
      <alignment vertical="center" wrapText="1"/>
    </xf>
    <xf numFmtId="3" fontId="50" fillId="0" borderId="0" xfId="79" applyNumberFormat="1" applyFont="1" applyFill="1" applyBorder="1" applyAlignment="1">
      <alignment vertical="center" wrapText="1"/>
    </xf>
    <xf numFmtId="0" fontId="52" fillId="0" borderId="0" xfId="79" applyFont="1" applyAlignment="1">
      <alignment vertical="center" wrapText="1"/>
    </xf>
    <xf numFmtId="165" fontId="52" fillId="0" borderId="0" xfId="1" applyNumberFormat="1" applyFont="1" applyFill="1" applyAlignment="1">
      <alignment vertical="center" wrapText="1"/>
    </xf>
    <xf numFmtId="3" fontId="52" fillId="0" borderId="0" xfId="79" applyNumberFormat="1" applyFont="1" applyFill="1" applyBorder="1" applyAlignment="1">
      <alignment vertical="center" wrapText="1"/>
    </xf>
    <xf numFmtId="3" fontId="50" fillId="0" borderId="56" xfId="79" applyNumberFormat="1" applyFont="1" applyFill="1" applyBorder="1" applyAlignment="1">
      <alignment vertical="center" wrapText="1"/>
    </xf>
    <xf numFmtId="3" fontId="52" fillId="0" borderId="0" xfId="79" applyNumberFormat="1" applyFont="1" applyFill="1" applyAlignment="1">
      <alignment vertical="center" wrapText="1"/>
    </xf>
    <xf numFmtId="0" fontId="52" fillId="0" borderId="1" xfId="79" applyFont="1" applyBorder="1" applyAlignment="1">
      <alignment horizontal="center" vertical="center" wrapText="1"/>
    </xf>
    <xf numFmtId="0" fontId="52" fillId="0" borderId="1" xfId="79" applyFont="1" applyBorder="1" applyAlignment="1">
      <alignment vertical="center" wrapText="1"/>
    </xf>
    <xf numFmtId="165" fontId="52" fillId="0" borderId="1" xfId="1" applyNumberFormat="1" applyFont="1" applyFill="1" applyBorder="1" applyAlignment="1">
      <alignment horizontal="center" vertical="center" wrapText="1"/>
    </xf>
    <xf numFmtId="0" fontId="52" fillId="0" borderId="1" xfId="79" applyFont="1" applyFill="1" applyBorder="1" applyAlignment="1">
      <alignment horizontal="center" vertical="center" wrapText="1"/>
    </xf>
    <xf numFmtId="0" fontId="69" fillId="0" borderId="0" xfId="49" applyFont="1"/>
    <xf numFmtId="0" fontId="50" fillId="0" borderId="1" xfId="79" applyFont="1" applyFill="1" applyBorder="1" applyAlignment="1">
      <alignment vertical="center" wrapText="1"/>
    </xf>
    <xf numFmtId="165" fontId="50" fillId="0" borderId="1" xfId="1" applyNumberFormat="1" applyFont="1" applyFill="1" applyBorder="1" applyAlignment="1">
      <alignment vertical="center" wrapText="1"/>
    </xf>
    <xf numFmtId="3" fontId="50" fillId="0" borderId="1" xfId="79" applyNumberFormat="1" applyFont="1" applyFill="1" applyBorder="1" applyAlignment="1">
      <alignment vertical="center" wrapText="1"/>
    </xf>
    <xf numFmtId="0" fontId="23" fillId="24" borderId="0" xfId="49" applyFont="1" applyFill="1"/>
    <xf numFmtId="0" fontId="52" fillId="0" borderId="1" xfId="79" applyFont="1" applyFill="1" applyBorder="1" applyAlignment="1">
      <alignment vertical="center" wrapText="1"/>
    </xf>
    <xf numFmtId="3" fontId="52" fillId="0" borderId="1" xfId="79" applyNumberFormat="1" applyFont="1" applyFill="1" applyBorder="1" applyAlignment="1">
      <alignment vertical="center" wrapText="1"/>
    </xf>
    <xf numFmtId="0" fontId="50" fillId="0" borderId="1" xfId="79" applyFont="1" applyBorder="1" applyAlignment="1">
      <alignment vertical="center" wrapText="1"/>
    </xf>
    <xf numFmtId="3" fontId="23" fillId="0" borderId="0" xfId="49" applyNumberFormat="1" applyFont="1"/>
    <xf numFmtId="0" fontId="64" fillId="0" borderId="0" xfId="49" applyFont="1" applyFill="1"/>
    <xf numFmtId="3" fontId="64" fillId="0" borderId="0" xfId="49" applyNumberFormat="1" applyFont="1"/>
    <xf numFmtId="3" fontId="50" fillId="0" borderId="0" xfId="79" applyNumberFormat="1" applyFont="1" applyAlignment="1">
      <alignment vertical="center" wrapText="1"/>
    </xf>
    <xf numFmtId="0" fontId="50" fillId="0" borderId="30" xfId="79" applyFont="1" applyBorder="1" applyAlignment="1">
      <alignment vertical="center" wrapText="1"/>
    </xf>
    <xf numFmtId="0" fontId="52" fillId="0" borderId="30" xfId="79" applyFont="1" applyBorder="1" applyAlignment="1">
      <alignment vertical="center" wrapText="1"/>
    </xf>
    <xf numFmtId="0" fontId="50" fillId="0" borderId="55" xfId="79" applyFont="1" applyBorder="1" applyAlignment="1">
      <alignment vertical="center" wrapText="1"/>
    </xf>
    <xf numFmtId="165" fontId="23" fillId="0" borderId="0" xfId="1" applyNumberFormat="1" applyFont="1" applyFill="1"/>
    <xf numFmtId="0" fontId="41" fillId="0" borderId="1" xfId="0" applyFont="1" applyFill="1" applyBorder="1" applyAlignment="1"/>
    <xf numFmtId="164" fontId="44" fillId="0" borderId="114" xfId="2" applyNumberFormat="1" applyFont="1" applyFill="1" applyBorder="1" applyAlignment="1">
      <alignment horizontal="center" vertical="center" wrapText="1"/>
    </xf>
    <xf numFmtId="164" fontId="45" fillId="0" borderId="114" xfId="2" applyNumberFormat="1" applyFont="1" applyFill="1" applyBorder="1" applyAlignment="1">
      <alignment horizontal="center" vertical="center" wrapText="1"/>
    </xf>
    <xf numFmtId="167" fontId="45" fillId="0" borderId="114" xfId="0" applyNumberFormat="1" applyFont="1" applyFill="1" applyBorder="1" applyAlignment="1">
      <alignment wrapText="1"/>
    </xf>
    <xf numFmtId="0" fontId="45" fillId="0" borderId="114" xfId="0" applyFont="1" applyFill="1" applyBorder="1"/>
    <xf numFmtId="164" fontId="45" fillId="0" borderId="116" xfId="2" applyNumberFormat="1" applyFont="1" applyFill="1" applyBorder="1" applyAlignment="1">
      <alignment horizontal="center" vertical="center" wrapText="1"/>
    </xf>
    <xf numFmtId="164" fontId="46" fillId="0" borderId="115" xfId="2" applyNumberFormat="1" applyFont="1" applyFill="1" applyBorder="1" applyAlignment="1">
      <alignment vertical="center" wrapText="1"/>
    </xf>
    <xf numFmtId="164" fontId="45" fillId="0" borderId="114" xfId="2" applyNumberFormat="1" applyFont="1" applyFill="1" applyBorder="1"/>
    <xf numFmtId="168" fontId="46" fillId="0" borderId="115" xfId="2" applyNumberFormat="1" applyFont="1" applyFill="1" applyBorder="1" applyAlignment="1">
      <alignment vertical="center" wrapText="1"/>
    </xf>
    <xf numFmtId="164" fontId="45" fillId="0" borderId="114" xfId="2" applyNumberFormat="1" applyFont="1" applyFill="1" applyBorder="1" applyAlignment="1">
      <alignment vertical="center" wrapText="1"/>
    </xf>
    <xf numFmtId="169" fontId="46" fillId="0" borderId="115" xfId="2" applyNumberFormat="1" applyFont="1" applyFill="1" applyBorder="1" applyAlignment="1">
      <alignment vertical="center" wrapText="1"/>
    </xf>
    <xf numFmtId="164" fontId="46" fillId="0" borderId="114" xfId="2" applyNumberFormat="1" applyFont="1" applyFill="1" applyBorder="1" applyAlignment="1">
      <alignment vertical="center" wrapText="1"/>
    </xf>
    <xf numFmtId="164" fontId="44" fillId="0" borderId="55" xfId="2" applyNumberFormat="1" applyFont="1" applyFill="1" applyBorder="1" applyAlignment="1">
      <alignment horizontal="center" vertical="center" wrapText="1"/>
    </xf>
    <xf numFmtId="164" fontId="44" fillId="0" borderId="114" xfId="0" applyNumberFormat="1" applyFont="1" applyFill="1" applyBorder="1"/>
    <xf numFmtId="164" fontId="44" fillId="0" borderId="113" xfId="2" applyNumberFormat="1" applyFont="1" applyFill="1" applyBorder="1" applyAlignment="1">
      <alignment horizontal="center" vertical="center" wrapText="1"/>
    </xf>
    <xf numFmtId="0" fontId="46" fillId="0" borderId="113" xfId="0" applyFont="1" applyFill="1" applyBorder="1" applyAlignment="1">
      <alignment horizontal="left" vertical="center" wrapText="1"/>
    </xf>
    <xf numFmtId="164" fontId="45" fillId="0" borderId="113" xfId="2" applyNumberFormat="1" applyFont="1" applyFill="1" applyBorder="1" applyAlignment="1">
      <alignment horizontal="center" vertical="center" wrapText="1"/>
    </xf>
    <xf numFmtId="0" fontId="41" fillId="0" borderId="113" xfId="0" applyFont="1" applyFill="1" applyBorder="1"/>
    <xf numFmtId="164" fontId="46" fillId="0" borderId="113" xfId="2" applyNumberFormat="1" applyFont="1" applyFill="1" applyBorder="1" applyAlignment="1">
      <alignment vertical="center" wrapText="1"/>
    </xf>
    <xf numFmtId="168" fontId="46" fillId="0" borderId="113" xfId="2" applyNumberFormat="1" applyFont="1" applyFill="1" applyBorder="1" applyAlignment="1">
      <alignment vertical="center" wrapText="1"/>
    </xf>
    <xf numFmtId="169" fontId="46" fillId="0" borderId="113" xfId="2" applyNumberFormat="1" applyFont="1" applyFill="1" applyBorder="1" applyAlignment="1">
      <alignment vertical="center" wrapText="1"/>
    </xf>
    <xf numFmtId="164" fontId="41" fillId="0" borderId="113" xfId="2" applyNumberFormat="1" applyFont="1" applyFill="1" applyBorder="1"/>
    <xf numFmtId="164" fontId="41" fillId="0" borderId="113" xfId="2" applyNumberFormat="1" applyFont="1" applyFill="1" applyBorder="1" applyAlignment="1">
      <alignment horizontal="center" vertical="center" wrapText="1"/>
    </xf>
    <xf numFmtId="0" fontId="41" fillId="0" borderId="117" xfId="0" applyFont="1" applyFill="1" applyBorder="1"/>
    <xf numFmtId="0" fontId="41" fillId="0" borderId="119" xfId="0" applyFont="1" applyFill="1" applyBorder="1"/>
    <xf numFmtId="0" fontId="41" fillId="0" borderId="0" xfId="0" applyFont="1" applyFill="1" applyBorder="1"/>
    <xf numFmtId="164" fontId="45" fillId="0" borderId="0" xfId="2" applyNumberFormat="1" applyFont="1" applyFill="1" applyBorder="1" applyAlignment="1">
      <alignment vertical="center" wrapText="1"/>
    </xf>
    <xf numFmtId="0" fontId="41" fillId="0" borderId="32" xfId="0" applyFont="1" applyFill="1" applyBorder="1"/>
    <xf numFmtId="0" fontId="41" fillId="0" borderId="118" xfId="0" applyFont="1" applyFill="1" applyBorder="1"/>
    <xf numFmtId="0" fontId="46" fillId="0" borderId="113" xfId="0" applyFont="1" applyFill="1" applyBorder="1" applyAlignment="1">
      <alignment vertical="center" wrapText="1"/>
    </xf>
    <xf numFmtId="0" fontId="41" fillId="0" borderId="11" xfId="0" applyFont="1" applyFill="1" applyBorder="1"/>
    <xf numFmtId="0" fontId="41" fillId="0" borderId="114" xfId="0" applyFont="1" applyFill="1" applyBorder="1"/>
    <xf numFmtId="0" fontId="46" fillId="0" borderId="117" xfId="0" applyFont="1" applyFill="1" applyBorder="1" applyAlignment="1">
      <alignment horizontal="left" vertical="center" wrapText="1"/>
    </xf>
    <xf numFmtId="0" fontId="41" fillId="31" borderId="120" xfId="0" applyFont="1" applyFill="1" applyBorder="1"/>
    <xf numFmtId="0" fontId="41" fillId="0" borderId="122" xfId="0" applyFont="1" applyFill="1" applyBorder="1"/>
    <xf numFmtId="0" fontId="46" fillId="0" borderId="119" xfId="0" applyFont="1" applyFill="1" applyBorder="1" applyAlignment="1">
      <alignment horizontal="left" vertical="center" wrapText="1"/>
    </xf>
    <xf numFmtId="0" fontId="41" fillId="31" borderId="32" xfId="0" applyFont="1" applyFill="1" applyBorder="1"/>
    <xf numFmtId="0" fontId="41" fillId="0" borderId="120" xfId="0" applyFont="1" applyFill="1" applyBorder="1"/>
    <xf numFmtId="0" fontId="45" fillId="31" borderId="32" xfId="0" applyFont="1" applyFill="1" applyBorder="1"/>
    <xf numFmtId="169" fontId="46" fillId="0" borderId="120" xfId="2" applyNumberFormat="1" applyFont="1" applyFill="1" applyBorder="1" applyAlignment="1">
      <alignment vertical="center" wrapText="1"/>
    </xf>
    <xf numFmtId="0" fontId="41" fillId="0" borderId="124" xfId="0" applyFont="1" applyFill="1" applyBorder="1"/>
    <xf numFmtId="0" fontId="46" fillId="0" borderId="55" xfId="0" applyFont="1" applyFill="1" applyBorder="1" applyAlignment="1">
      <alignment vertical="center" wrapText="1"/>
    </xf>
    <xf numFmtId="164" fontId="46" fillId="0" borderId="118" xfId="2" applyNumberFormat="1" applyFont="1" applyFill="1" applyBorder="1" applyAlignment="1">
      <alignment vertical="center" wrapText="1"/>
    </xf>
    <xf numFmtId="169" fontId="46" fillId="0" borderId="117" xfId="2" applyNumberFormat="1" applyFont="1" applyFill="1" applyBorder="1" applyAlignment="1">
      <alignment vertical="center" wrapText="1"/>
    </xf>
    <xf numFmtId="164" fontId="44" fillId="0" borderId="32" xfId="2" applyNumberFormat="1" applyFont="1" applyFill="1" applyBorder="1"/>
    <xf numFmtId="0" fontId="40" fillId="0" borderId="0" xfId="0" applyFont="1" applyFill="1" applyBorder="1" applyAlignment="1">
      <alignment horizontal="center" vertical="center"/>
    </xf>
    <xf numFmtId="164" fontId="44" fillId="0" borderId="119" xfId="2" applyNumberFormat="1" applyFont="1" applyFill="1" applyBorder="1" applyAlignment="1">
      <alignment horizontal="center" vertical="center" wrapText="1"/>
    </xf>
    <xf numFmtId="0" fontId="45" fillId="0" borderId="0" xfId="0" applyFont="1" applyFill="1" applyBorder="1"/>
    <xf numFmtId="0" fontId="48" fillId="28" borderId="113" xfId="0" applyFont="1" applyFill="1" applyBorder="1"/>
    <xf numFmtId="164" fontId="50" fillId="28" borderId="125" xfId="2" applyNumberFormat="1" applyFont="1" applyFill="1" applyBorder="1" applyAlignment="1">
      <alignment horizontal="center"/>
    </xf>
    <xf numFmtId="164" fontId="50" fillId="28" borderId="126" xfId="2" applyNumberFormat="1" applyFont="1" applyFill="1" applyBorder="1" applyAlignment="1">
      <alignment horizontal="center"/>
    </xf>
    <xf numFmtId="164" fontId="50" fillId="28" borderId="127" xfId="2" applyNumberFormat="1" applyFont="1" applyFill="1" applyBorder="1" applyAlignment="1">
      <alignment horizontal="center"/>
    </xf>
    <xf numFmtId="164" fontId="50" fillId="28" borderId="128" xfId="2" applyNumberFormat="1" applyFont="1" applyFill="1" applyBorder="1" applyAlignment="1">
      <alignment horizontal="center"/>
    </xf>
    <xf numFmtId="164" fontId="50" fillId="28" borderId="129" xfId="2" applyNumberFormat="1" applyFont="1" applyFill="1" applyBorder="1" applyAlignment="1">
      <alignment horizontal="center"/>
    </xf>
    <xf numFmtId="164" fontId="52" fillId="28" borderId="114" xfId="2" applyNumberFormat="1" applyFont="1" applyFill="1" applyBorder="1" applyAlignment="1">
      <alignment horizontal="center"/>
    </xf>
    <xf numFmtId="164" fontId="49" fillId="28" borderId="114" xfId="2" applyNumberFormat="1" applyFont="1" applyFill="1" applyBorder="1" applyAlignment="1">
      <alignment horizontal="center" vertical="center" wrapText="1"/>
    </xf>
    <xf numFmtId="164" fontId="50" fillId="28" borderId="114" xfId="2" applyNumberFormat="1" applyFont="1" applyFill="1" applyBorder="1" applyAlignment="1">
      <alignment horizontal="center"/>
    </xf>
    <xf numFmtId="0" fontId="48" fillId="28" borderId="124" xfId="0" applyFont="1" applyFill="1" applyBorder="1" applyAlignment="1">
      <alignment horizontal="center" vertical="center" wrapText="1"/>
    </xf>
    <xf numFmtId="164" fontId="48" fillId="28" borderId="124" xfId="0" applyNumberFormat="1" applyFont="1" applyFill="1" applyBorder="1"/>
    <xf numFmtId="0" fontId="48" fillId="28" borderId="124" xfId="0" applyFont="1" applyFill="1" applyBorder="1"/>
    <xf numFmtId="0" fontId="0" fillId="28" borderId="124" xfId="0" applyFill="1" applyBorder="1"/>
    <xf numFmtId="0" fontId="48" fillId="28" borderId="32" xfId="0" applyFont="1" applyFill="1" applyBorder="1"/>
    <xf numFmtId="0" fontId="41" fillId="28" borderId="32" xfId="0" applyFont="1" applyFill="1" applyBorder="1"/>
    <xf numFmtId="0" fontId="48" fillId="28" borderId="0" xfId="0" applyFont="1" applyFill="1" applyBorder="1"/>
    <xf numFmtId="0" fontId="41" fillId="28" borderId="0" xfId="0" applyFont="1" applyFill="1" applyBorder="1"/>
    <xf numFmtId="0" fontId="42" fillId="28" borderId="0" xfId="0" applyFont="1" applyFill="1" applyBorder="1"/>
    <xf numFmtId="0" fontId="0" fillId="28" borderId="32" xfId="0" applyFill="1" applyBorder="1"/>
    <xf numFmtId="0" fontId="0" fillId="28" borderId="120" xfId="0" applyFill="1" applyBorder="1"/>
    <xf numFmtId="0" fontId="0" fillId="28" borderId="121" xfId="0" applyFill="1" applyBorder="1"/>
    <xf numFmtId="0" fontId="0" fillId="28" borderId="0" xfId="0" applyFill="1" applyBorder="1"/>
    <xf numFmtId="0" fontId="48" fillId="28" borderId="112" xfId="0" applyFont="1" applyFill="1" applyBorder="1" applyAlignment="1">
      <alignment wrapText="1"/>
    </xf>
    <xf numFmtId="0" fontId="48" fillId="28" borderId="130" xfId="0" applyFont="1" applyFill="1" applyBorder="1" applyAlignment="1">
      <alignment wrapText="1"/>
    </xf>
    <xf numFmtId="0" fontId="51" fillId="28" borderId="113" xfId="0" applyFont="1" applyFill="1" applyBorder="1" applyAlignment="1"/>
    <xf numFmtId="0" fontId="48" fillId="28" borderId="123" xfId="0" applyFont="1" applyFill="1" applyBorder="1"/>
    <xf numFmtId="0" fontId="41" fillId="28" borderId="123" xfId="0" applyFont="1" applyFill="1" applyBorder="1"/>
    <xf numFmtId="0" fontId="48" fillId="28" borderId="113" xfId="0" applyFont="1" applyFill="1" applyBorder="1" applyAlignment="1">
      <alignment textRotation="90"/>
    </xf>
    <xf numFmtId="0" fontId="49" fillId="28" borderId="113" xfId="0" applyFont="1" applyFill="1" applyBorder="1" applyAlignment="1">
      <alignment horizontal="center" vertical="center" wrapText="1"/>
    </xf>
    <xf numFmtId="0" fontId="0" fillId="28" borderId="123" xfId="0" applyFill="1" applyBorder="1"/>
    <xf numFmtId="0" fontId="64" fillId="28" borderId="113" xfId="0" applyFont="1" applyFill="1" applyBorder="1" applyAlignment="1">
      <alignment horizontal="left" vertical="center" wrapText="1"/>
    </xf>
    <xf numFmtId="0" fontId="48" fillId="28" borderId="55" xfId="0" applyFont="1" applyFill="1" applyBorder="1"/>
    <xf numFmtId="0" fontId="0" fillId="28" borderId="118" xfId="0" applyFill="1" applyBorder="1"/>
    <xf numFmtId="0" fontId="0" fillId="0" borderId="0" xfId="0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7" fillId="28" borderId="5" xfId="0" applyFont="1" applyFill="1" applyBorder="1" applyAlignment="1">
      <alignment horizontal="center" vertical="center" wrapText="1"/>
    </xf>
    <xf numFmtId="0" fontId="127" fillId="2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textRotation="90"/>
    </xf>
    <xf numFmtId="0" fontId="41" fillId="0" borderId="11" xfId="0" applyFont="1" applyFill="1" applyBorder="1" applyAlignment="1">
      <alignment horizontal="center" vertical="center" textRotation="90"/>
    </xf>
    <xf numFmtId="0" fontId="41" fillId="0" borderId="113" xfId="0" applyFont="1" applyFill="1" applyBorder="1" applyAlignment="1">
      <alignment horizontal="center" vertical="center" wrapText="1"/>
    </xf>
    <xf numFmtId="169" fontId="45" fillId="0" borderId="113" xfId="2" applyNumberFormat="1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 vertical="center" textRotation="90"/>
    </xf>
    <xf numFmtId="164" fontId="41" fillId="0" borderId="113" xfId="2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114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114" xfId="0" applyFont="1" applyFill="1" applyBorder="1" applyAlignment="1">
      <alignment horizontal="center" vertical="center" wrapText="1"/>
    </xf>
    <xf numFmtId="0" fontId="44" fillId="0" borderId="11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textRotation="90" wrapText="1"/>
    </xf>
    <xf numFmtId="0" fontId="41" fillId="0" borderId="29" xfId="0" applyFont="1" applyFill="1" applyBorder="1" applyAlignment="1">
      <alignment horizontal="center" vertical="center" textRotation="90" wrapText="1"/>
    </xf>
    <xf numFmtId="0" fontId="41" fillId="0" borderId="11" xfId="0" applyFont="1" applyFill="1" applyBorder="1" applyAlignment="1">
      <alignment horizontal="center" vertical="center" textRotation="90" wrapText="1"/>
    </xf>
    <xf numFmtId="0" fontId="47" fillId="0" borderId="8" xfId="0" applyFont="1" applyFill="1" applyBorder="1" applyAlignment="1">
      <alignment horizontal="center" vertical="center" textRotation="90"/>
    </xf>
    <xf numFmtId="0" fontId="47" fillId="0" borderId="29" xfId="0" applyFont="1" applyFill="1" applyBorder="1" applyAlignment="1">
      <alignment horizontal="center" vertical="center" textRotation="90"/>
    </xf>
    <xf numFmtId="0" fontId="47" fillId="0" borderId="11" xfId="0" applyFont="1" applyFill="1" applyBorder="1" applyAlignment="1">
      <alignment horizontal="center" vertical="center" textRotation="90"/>
    </xf>
    <xf numFmtId="167" fontId="41" fillId="0" borderId="113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4" fillId="0" borderId="119" xfId="0" applyFont="1" applyFill="1" applyBorder="1" applyAlignment="1">
      <alignment horizontal="center" vertical="center" wrapText="1"/>
    </xf>
    <xf numFmtId="0" fontId="46" fillId="0" borderId="115" xfId="0" applyFont="1" applyFill="1" applyBorder="1" applyAlignment="1">
      <alignment horizontal="left" vertical="center" wrapText="1"/>
    </xf>
    <xf numFmtId="0" fontId="46" fillId="0" borderId="26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textRotation="90"/>
    </xf>
    <xf numFmtId="164" fontId="45" fillId="0" borderId="119" xfId="2" applyNumberFormat="1" applyFont="1" applyFill="1" applyBorder="1" applyAlignment="1">
      <alignment horizontal="center" vertical="center" wrapText="1"/>
    </xf>
    <xf numFmtId="164" fontId="45" fillId="0" borderId="124" xfId="2" applyNumberFormat="1" applyFont="1" applyFill="1" applyBorder="1" applyAlignment="1">
      <alignment horizontal="center" vertical="center" wrapText="1"/>
    </xf>
    <xf numFmtId="164" fontId="45" fillId="0" borderId="11" xfId="2" applyNumberFormat="1" applyFont="1" applyFill="1" applyBorder="1" applyAlignment="1">
      <alignment horizontal="center" vertical="center" wrapText="1"/>
    </xf>
    <xf numFmtId="0" fontId="41" fillId="0" borderId="119" xfId="0" applyFont="1" applyFill="1" applyBorder="1" applyAlignment="1">
      <alignment horizontal="center" vertical="center" textRotation="90"/>
    </xf>
    <xf numFmtId="0" fontId="41" fillId="0" borderId="124" xfId="0" applyFont="1" applyFill="1" applyBorder="1" applyAlignment="1">
      <alignment horizontal="center" vertical="center" textRotation="90"/>
    </xf>
    <xf numFmtId="0" fontId="42" fillId="28" borderId="123" xfId="0" applyFont="1" applyFill="1" applyBorder="1" applyAlignment="1">
      <alignment horizontal="center"/>
    </xf>
    <xf numFmtId="0" fontId="42" fillId="28" borderId="0" xfId="0" applyFont="1" applyFill="1" applyBorder="1" applyAlignment="1">
      <alignment horizontal="center"/>
    </xf>
    <xf numFmtId="0" fontId="42" fillId="28" borderId="0" xfId="0" applyFont="1" applyFill="1" applyAlignment="1">
      <alignment horizontal="center"/>
    </xf>
    <xf numFmtId="0" fontId="48" fillId="28" borderId="8" xfId="0" applyFont="1" applyFill="1" applyBorder="1" applyAlignment="1">
      <alignment horizontal="center" vertical="center" textRotation="90"/>
    </xf>
    <xf numFmtId="0" fontId="48" fillId="28" borderId="29" xfId="0" applyFont="1" applyFill="1" applyBorder="1" applyAlignment="1">
      <alignment horizontal="center" vertical="center" textRotation="90"/>
    </xf>
    <xf numFmtId="0" fontId="48" fillId="28" borderId="11" xfId="0" applyFont="1" applyFill="1" applyBorder="1" applyAlignment="1">
      <alignment horizontal="center" vertical="center" textRotation="90"/>
    </xf>
    <xf numFmtId="0" fontId="48" fillId="28" borderId="119" xfId="0" applyFont="1" applyFill="1" applyBorder="1" applyAlignment="1">
      <alignment horizontal="center" vertical="center" wrapText="1"/>
    </xf>
    <xf numFmtId="0" fontId="48" fillId="28" borderId="124" xfId="0" applyFont="1" applyFill="1" applyBorder="1" applyAlignment="1">
      <alignment horizontal="center" vertical="center" wrapText="1"/>
    </xf>
    <xf numFmtId="0" fontId="48" fillId="28" borderId="11" xfId="0" applyFont="1" applyFill="1" applyBorder="1" applyAlignment="1">
      <alignment horizontal="center" vertical="center" wrapText="1"/>
    </xf>
    <xf numFmtId="0" fontId="48" fillId="28" borderId="1" xfId="0" applyFont="1" applyFill="1" applyBorder="1" applyAlignment="1">
      <alignment horizontal="center" vertical="center" textRotation="90"/>
    </xf>
    <xf numFmtId="0" fontId="48" fillId="28" borderId="8" xfId="0" applyFont="1" applyFill="1" applyBorder="1" applyAlignment="1">
      <alignment horizontal="left"/>
    </xf>
    <xf numFmtId="0" fontId="48" fillId="28" borderId="11" xfId="0" applyFont="1" applyFill="1" applyBorder="1" applyAlignment="1">
      <alignment horizontal="left"/>
    </xf>
    <xf numFmtId="0" fontId="48" fillId="28" borderId="113" xfId="0" applyFont="1" applyFill="1" applyBorder="1" applyAlignment="1">
      <alignment horizontal="center" vertical="center" textRotation="90"/>
    </xf>
    <xf numFmtId="0" fontId="57" fillId="0" borderId="0" xfId="68" applyFont="1" applyFill="1" applyBorder="1" applyAlignment="1">
      <alignment horizontal="center"/>
    </xf>
    <xf numFmtId="49" fontId="57" fillId="0" borderId="0" xfId="32" applyNumberFormat="1" applyFont="1" applyFill="1" applyBorder="1" applyAlignment="1">
      <alignment horizontal="center"/>
    </xf>
    <xf numFmtId="0" fontId="57" fillId="0" borderId="1" xfId="69" applyFont="1" applyFill="1" applyBorder="1" applyAlignment="1">
      <alignment horizontal="center" vertical="center"/>
    </xf>
    <xf numFmtId="0" fontId="59" fillId="0" borderId="0" xfId="68" applyFont="1" applyFill="1" applyBorder="1" applyAlignment="1">
      <alignment horizontal="left" vertical="center"/>
    </xf>
    <xf numFmtId="0" fontId="58" fillId="0" borderId="0" xfId="68" applyFont="1" applyBorder="1" applyAlignment="1">
      <alignment horizontal="center" vertical="center"/>
    </xf>
    <xf numFmtId="0" fontId="49" fillId="0" borderId="0" xfId="68" applyFont="1" applyBorder="1" applyAlignment="1">
      <alignment horizontal="center"/>
    </xf>
    <xf numFmtId="165" fontId="57" fillId="0" borderId="0" xfId="32" applyNumberFormat="1" applyFont="1" applyFill="1" applyBorder="1" applyAlignment="1">
      <alignment horizontal="center"/>
    </xf>
    <xf numFmtId="0" fontId="57" fillId="0" borderId="0" xfId="68" applyFont="1" applyAlignment="1">
      <alignment horizontal="center"/>
    </xf>
    <xf numFmtId="0" fontId="58" fillId="0" borderId="0" xfId="68" applyFont="1" applyAlignment="1">
      <alignment horizontal="center"/>
    </xf>
    <xf numFmtId="0" fontId="57" fillId="0" borderId="1" xfId="69" applyFont="1" applyBorder="1" applyAlignment="1">
      <alignment horizontal="center" vertical="center" textRotation="90"/>
    </xf>
    <xf numFmtId="0" fontId="53" fillId="0" borderId="1" xfId="69" applyFont="1" applyBorder="1" applyAlignment="1">
      <alignment horizontal="center" vertical="center" textRotation="90"/>
    </xf>
    <xf numFmtId="0" fontId="57" fillId="0" borderId="1" xfId="69" applyFont="1" applyBorder="1" applyAlignment="1">
      <alignment horizontal="center" vertical="center"/>
    </xf>
    <xf numFmtId="0" fontId="53" fillId="0" borderId="1" xfId="69" applyFont="1" applyBorder="1" applyAlignment="1">
      <alignment horizontal="center" vertical="center"/>
    </xf>
    <xf numFmtId="0" fontId="57" fillId="0" borderId="1" xfId="69" applyFont="1" applyBorder="1" applyAlignment="1">
      <alignment horizontal="center" vertical="center" wrapText="1"/>
    </xf>
    <xf numFmtId="0" fontId="57" fillId="0" borderId="24" xfId="69" applyFont="1" applyBorder="1" applyAlignment="1">
      <alignment horizontal="center" vertical="center" wrapText="1"/>
    </xf>
    <xf numFmtId="0" fontId="57" fillId="0" borderId="25" xfId="69" applyFont="1" applyBorder="1" applyAlignment="1">
      <alignment horizontal="center" vertical="center" wrapText="1"/>
    </xf>
    <xf numFmtId="14" fontId="57" fillId="0" borderId="1" xfId="32" applyNumberFormat="1" applyFont="1" applyBorder="1" applyAlignment="1">
      <alignment horizontal="center" vertical="center" wrapText="1"/>
    </xf>
    <xf numFmtId="0" fontId="51" fillId="28" borderId="1" xfId="0" applyFont="1" applyFill="1" applyBorder="1" applyAlignment="1">
      <alignment horizontal="left" vertical="center" wrapText="1"/>
    </xf>
    <xf numFmtId="0" fontId="51" fillId="28" borderId="1" xfId="0" applyFont="1" applyFill="1" applyBorder="1" applyAlignment="1">
      <alignment horizontal="center" vertical="center" wrapText="1"/>
    </xf>
    <xf numFmtId="165" fontId="105" fillId="28" borderId="1" xfId="1" applyNumberFormat="1" applyFont="1" applyFill="1" applyBorder="1" applyAlignment="1">
      <alignment horizontal="center" vertical="center" wrapText="1"/>
    </xf>
    <xf numFmtId="165" fontId="63" fillId="28" borderId="1" xfId="1" applyNumberFormat="1" applyFont="1" applyFill="1" applyBorder="1" applyAlignment="1">
      <alignment horizontal="center" vertical="center" wrapText="1"/>
    </xf>
    <xf numFmtId="0" fontId="106" fillId="28" borderId="1" xfId="0" applyFont="1" applyFill="1" applyBorder="1" applyAlignment="1">
      <alignment horizontal="left" vertical="center" wrapText="1"/>
    </xf>
    <xf numFmtId="0" fontId="49" fillId="0" borderId="24" xfId="56" applyFont="1" applyFill="1" applyBorder="1" applyAlignment="1">
      <alignment horizontal="left" vertical="center" wrapText="1"/>
    </xf>
    <xf numFmtId="0" fontId="49" fillId="0" borderId="27" xfId="56" applyFont="1" applyFill="1" applyBorder="1" applyAlignment="1">
      <alignment horizontal="left" vertical="center" wrapText="1"/>
    </xf>
    <xf numFmtId="0" fontId="49" fillId="0" borderId="25" xfId="56" applyFont="1" applyFill="1" applyBorder="1" applyAlignment="1">
      <alignment horizontal="left" vertical="center" wrapText="1"/>
    </xf>
    <xf numFmtId="0" fontId="52" fillId="0" borderId="1" xfId="77" applyFont="1" applyFill="1" applyBorder="1" applyAlignment="1">
      <alignment horizontal="center" vertical="center" textRotation="90" wrapText="1"/>
    </xf>
    <xf numFmtId="0" fontId="57" fillId="0" borderId="1" xfId="77" applyFont="1" applyFill="1" applyBorder="1" applyAlignment="1">
      <alignment horizontal="center" vertical="center" wrapText="1"/>
    </xf>
    <xf numFmtId="0" fontId="57" fillId="0" borderId="24" xfId="77" applyFont="1" applyFill="1" applyBorder="1" applyAlignment="1">
      <alignment horizontal="center" vertical="center" wrapText="1"/>
    </xf>
    <xf numFmtId="0" fontId="57" fillId="0" borderId="25" xfId="77" applyFont="1" applyFill="1" applyBorder="1" applyAlignment="1">
      <alignment horizontal="center" vertical="center" wrapText="1"/>
    </xf>
    <xf numFmtId="0" fontId="52" fillId="0" borderId="11" xfId="56" applyFont="1" applyFill="1" applyBorder="1" applyAlignment="1">
      <alignment horizontal="center" vertical="center" wrapText="1"/>
    </xf>
    <xf numFmtId="0" fontId="52" fillId="0" borderId="1" xfId="56" applyFont="1" applyFill="1" applyBorder="1" applyAlignment="1">
      <alignment horizontal="center" vertical="center" wrapText="1"/>
    </xf>
    <xf numFmtId="0" fontId="57" fillId="0" borderId="54" xfId="77" applyFont="1" applyFill="1" applyBorder="1" applyAlignment="1">
      <alignment horizontal="center" vertical="center" wrapText="1"/>
    </xf>
    <xf numFmtId="173" fontId="65" fillId="0" borderId="11" xfId="39" applyNumberFormat="1" applyFont="1" applyFill="1" applyBorder="1" applyAlignment="1" applyProtection="1">
      <alignment horizontal="center" vertical="center"/>
    </xf>
    <xf numFmtId="0" fontId="57" fillId="0" borderId="26" xfId="77" applyFont="1" applyFill="1" applyBorder="1" applyAlignment="1">
      <alignment horizontal="center" vertical="center" wrapText="1"/>
    </xf>
    <xf numFmtId="0" fontId="57" fillId="0" borderId="64" xfId="77" applyFont="1" applyFill="1" applyBorder="1" applyAlignment="1">
      <alignment horizontal="center" vertical="center" wrapText="1"/>
    </xf>
    <xf numFmtId="0" fontId="49" fillId="0" borderId="0" xfId="77" applyFont="1" applyFill="1" applyBorder="1" applyAlignment="1">
      <alignment horizontal="left" vertical="center" wrapText="1"/>
    </xf>
    <xf numFmtId="0" fontId="57" fillId="0" borderId="11" xfId="77" applyFont="1" applyFill="1" applyBorder="1" applyAlignment="1">
      <alignment horizontal="center" vertical="center" wrapText="1"/>
    </xf>
    <xf numFmtId="0" fontId="52" fillId="0" borderId="1" xfId="77" applyFont="1" applyFill="1" applyBorder="1" applyAlignment="1">
      <alignment horizontal="center" vertical="center" wrapText="1"/>
    </xf>
    <xf numFmtId="173" fontId="65" fillId="0" borderId="24" xfId="39" applyNumberFormat="1" applyFont="1" applyFill="1" applyBorder="1" applyAlignment="1" applyProtection="1">
      <alignment horizontal="center" vertical="center"/>
    </xf>
    <xf numFmtId="173" fontId="65" fillId="0" borderId="27" xfId="39" applyNumberFormat="1" applyFont="1" applyFill="1" applyBorder="1" applyAlignment="1" applyProtection="1">
      <alignment horizontal="center" vertical="center"/>
    </xf>
    <xf numFmtId="173" fontId="65" fillId="0" borderId="25" xfId="39" applyNumberFormat="1" applyFont="1" applyFill="1" applyBorder="1" applyAlignment="1" applyProtection="1">
      <alignment horizontal="center" vertical="center"/>
    </xf>
    <xf numFmtId="0" fontId="58" fillId="0" borderId="0" xfId="77" applyFont="1" applyFill="1" applyBorder="1" applyAlignment="1">
      <alignment horizontal="center" vertical="center" wrapText="1"/>
    </xf>
    <xf numFmtId="173" fontId="65" fillId="0" borderId="1" xfId="39" applyNumberFormat="1" applyFont="1" applyFill="1" applyBorder="1" applyAlignment="1" applyProtection="1">
      <alignment horizontal="center" vertical="center"/>
    </xf>
    <xf numFmtId="0" fontId="78" fillId="0" borderId="0" xfId="49" applyFont="1" applyFill="1" applyBorder="1" applyAlignment="1">
      <alignment horizontal="left" wrapText="1"/>
    </xf>
    <xf numFmtId="0" fontId="67" fillId="0" borderId="0" xfId="49" applyFont="1" applyFill="1" applyBorder="1" applyAlignment="1">
      <alignment horizontal="right"/>
    </xf>
    <xf numFmtId="0" fontId="66" fillId="0" borderId="0" xfId="49" applyFont="1" applyFill="1" applyBorder="1" applyAlignment="1">
      <alignment horizontal="center" wrapText="1"/>
    </xf>
    <xf numFmtId="0" fontId="66" fillId="0" borderId="0" xfId="49" applyFont="1" applyFill="1" applyBorder="1" applyAlignment="1">
      <alignment horizontal="center"/>
    </xf>
    <xf numFmtId="3" fontId="70" fillId="0" borderId="1" xfId="49" applyNumberFormat="1" applyFont="1" applyFill="1" applyBorder="1" applyAlignment="1">
      <alignment horizontal="center" vertical="center"/>
    </xf>
    <xf numFmtId="3" fontId="68" fillId="0" borderId="1" xfId="49" applyNumberFormat="1" applyFont="1" applyFill="1" applyBorder="1" applyAlignment="1">
      <alignment horizontal="center" vertical="center"/>
    </xf>
    <xf numFmtId="3" fontId="71" fillId="0" borderId="8" xfId="49" applyNumberFormat="1" applyFont="1" applyFill="1" applyBorder="1" applyAlignment="1">
      <alignment horizontal="center" vertical="center" wrapText="1"/>
    </xf>
    <xf numFmtId="3" fontId="71" fillId="0" borderId="29" xfId="49" applyNumberFormat="1" applyFont="1" applyFill="1" applyBorder="1" applyAlignment="1">
      <alignment horizontal="center" vertical="center" wrapText="1"/>
    </xf>
    <xf numFmtId="3" fontId="71" fillId="0" borderId="11" xfId="49" applyNumberFormat="1" applyFont="1" applyFill="1" applyBorder="1" applyAlignment="1">
      <alignment horizontal="center" vertical="center" wrapText="1"/>
    </xf>
    <xf numFmtId="0" fontId="92" fillId="0" borderId="0" xfId="76" applyFont="1" applyFill="1" applyAlignment="1" applyProtection="1">
      <alignment horizontal="center" vertical="center" wrapText="1"/>
      <protection locked="0"/>
    </xf>
    <xf numFmtId="0" fontId="90" fillId="0" borderId="33" xfId="76" applyFill="1" applyBorder="1" applyAlignment="1">
      <alignment horizontal="center"/>
    </xf>
    <xf numFmtId="0" fontId="119" fillId="32" borderId="0" xfId="49" applyFont="1" applyFill="1" applyAlignment="1">
      <alignment horizontal="center" vertical="top" wrapText="1"/>
    </xf>
    <xf numFmtId="0" fontId="23" fillId="0" borderId="0" xfId="49"/>
    <xf numFmtId="0" fontId="119" fillId="32" borderId="2" xfId="49" applyFont="1" applyFill="1" applyBorder="1" applyAlignment="1">
      <alignment horizontal="center" vertical="top" wrapText="1"/>
    </xf>
    <xf numFmtId="0" fontId="23" fillId="0" borderId="3" xfId="49" applyBorder="1"/>
    <xf numFmtId="0" fontId="23" fillId="0" borderId="4" xfId="49" applyBorder="1"/>
    <xf numFmtId="0" fontId="129" fillId="0" borderId="24" xfId="49" applyFont="1" applyBorder="1" applyAlignment="1">
      <alignment horizontal="center" vertical="center" wrapText="1"/>
    </xf>
    <xf numFmtId="0" fontId="129" fillId="0" borderId="27" xfId="49" applyFont="1" applyBorder="1" applyAlignment="1">
      <alignment horizontal="center" vertical="center" wrapText="1"/>
    </xf>
    <xf numFmtId="0" fontId="129" fillId="0" borderId="25" xfId="49" applyFont="1" applyBorder="1" applyAlignment="1">
      <alignment horizontal="center" vertical="center" wrapText="1"/>
    </xf>
    <xf numFmtId="0" fontId="106" fillId="0" borderId="8" xfId="49" applyFont="1" applyBorder="1" applyAlignment="1">
      <alignment horizontal="center" vertical="center" wrapText="1"/>
    </xf>
    <xf numFmtId="0" fontId="106" fillId="0" borderId="11" xfId="49" applyFont="1" applyBorder="1" applyAlignment="1">
      <alignment horizontal="center" vertical="center" wrapText="1"/>
    </xf>
    <xf numFmtId="0" fontId="130" fillId="0" borderId="1" xfId="49" applyFont="1" applyBorder="1" applyAlignment="1">
      <alignment horizontal="center" vertical="center" wrapText="1"/>
    </xf>
    <xf numFmtId="0" fontId="129" fillId="25" borderId="0" xfId="49" applyFont="1" applyFill="1" applyBorder="1" applyAlignment="1">
      <alignment horizontal="center" vertical="center" wrapText="1"/>
    </xf>
    <xf numFmtId="0" fontId="129" fillId="0" borderId="1" xfId="49" applyFont="1" applyBorder="1" applyAlignment="1">
      <alignment horizontal="center" vertical="center" wrapText="1"/>
    </xf>
    <xf numFmtId="0" fontId="107" fillId="0" borderId="0" xfId="49" applyFont="1" applyFill="1" applyBorder="1" applyAlignment="1">
      <alignment horizontal="right" vertical="center"/>
    </xf>
    <xf numFmtId="0" fontId="54" fillId="0" borderId="0" xfId="49" applyFont="1" applyFill="1" applyBorder="1" applyAlignment="1">
      <alignment horizontal="right" vertical="center" wrapText="1"/>
    </xf>
    <xf numFmtId="0" fontId="107" fillId="0" borderId="0" xfId="49" applyFont="1" applyFill="1" applyBorder="1" applyAlignment="1">
      <alignment horizontal="right" vertical="center" wrapText="1"/>
    </xf>
    <xf numFmtId="0" fontId="54" fillId="0" borderId="0" xfId="49" applyFont="1" applyFill="1" applyBorder="1" applyAlignment="1">
      <alignment horizontal="right" vertical="center"/>
    </xf>
    <xf numFmtId="0" fontId="50" fillId="0" borderId="26" xfId="79" applyFont="1" applyBorder="1" applyAlignment="1">
      <alignment horizontal="center" vertical="center" wrapText="1"/>
    </xf>
    <xf numFmtId="0" fontId="50" fillId="0" borderId="30" xfId="79" applyFont="1" applyBorder="1" applyAlignment="1">
      <alignment horizontal="center" vertical="center" wrapText="1"/>
    </xf>
    <xf numFmtId="0" fontId="52" fillId="0" borderId="33" xfId="79" applyFont="1" applyBorder="1" applyAlignment="1">
      <alignment horizontal="center" vertical="center" wrapText="1"/>
    </xf>
    <xf numFmtId="0" fontId="124" fillId="25" borderId="10" xfId="83" applyFont="1" applyFill="1" applyBorder="1" applyAlignment="1">
      <alignment horizontal="left"/>
    </xf>
    <xf numFmtId="0" fontId="124" fillId="25" borderId="76" xfId="83" applyFont="1" applyFill="1" applyBorder="1" applyAlignment="1">
      <alignment horizontal="left"/>
    </xf>
    <xf numFmtId="0" fontId="124" fillId="25" borderId="7" xfId="83" applyFont="1" applyFill="1" applyBorder="1" applyAlignment="1">
      <alignment horizontal="left"/>
    </xf>
    <xf numFmtId="0" fontId="123" fillId="25" borderId="24" xfId="83" applyFont="1" applyFill="1" applyBorder="1" applyAlignment="1">
      <alignment horizontal="center"/>
    </xf>
    <xf numFmtId="0" fontId="123" fillId="25" borderId="27" xfId="83" applyFont="1" applyFill="1" applyBorder="1" applyAlignment="1">
      <alignment horizontal="center"/>
    </xf>
    <xf numFmtId="0" fontId="123" fillId="25" borderId="25" xfId="83" applyFont="1" applyFill="1" applyBorder="1" applyAlignment="1">
      <alignment horizontal="center"/>
    </xf>
    <xf numFmtId="0" fontId="124" fillId="25" borderId="88" xfId="83" applyFont="1" applyFill="1" applyBorder="1" applyAlignment="1">
      <alignment horizontal="left"/>
    </xf>
    <xf numFmtId="0" fontId="124" fillId="25" borderId="77" xfId="83" applyFont="1" applyFill="1" applyBorder="1" applyAlignment="1">
      <alignment horizontal="left"/>
    </xf>
    <xf numFmtId="0" fontId="124" fillId="25" borderId="14" xfId="83" applyFont="1" applyFill="1" applyBorder="1" applyAlignment="1">
      <alignment horizontal="left"/>
    </xf>
    <xf numFmtId="0" fontId="65" fillId="25" borderId="0" xfId="49" applyFont="1" applyFill="1" applyAlignment="1">
      <alignment horizontal="center" wrapText="1"/>
    </xf>
    <xf numFmtId="0" fontId="124" fillId="25" borderId="41" xfId="83" applyFont="1" applyFill="1" applyBorder="1" applyAlignment="1">
      <alignment horizontal="left"/>
    </xf>
    <xf numFmtId="0" fontId="124" fillId="25" borderId="42" xfId="83" applyFont="1" applyFill="1" applyBorder="1" applyAlignment="1">
      <alignment horizontal="left"/>
    </xf>
    <xf numFmtId="0" fontId="124" fillId="25" borderId="44" xfId="83" applyFont="1" applyFill="1" applyBorder="1" applyAlignment="1">
      <alignment horizontal="left"/>
    </xf>
    <xf numFmtId="0" fontId="124" fillId="25" borderId="106" xfId="83" applyFont="1" applyFill="1" applyBorder="1" applyAlignment="1">
      <alignment horizontal="left"/>
    </xf>
    <xf numFmtId="0" fontId="124" fillId="25" borderId="58" xfId="83" applyFont="1" applyFill="1" applyBorder="1" applyAlignment="1">
      <alignment horizontal="left"/>
    </xf>
    <xf numFmtId="0" fontId="124" fillId="25" borderId="59" xfId="83" applyFont="1" applyFill="1" applyBorder="1" applyAlignment="1">
      <alignment horizontal="left"/>
    </xf>
    <xf numFmtId="0" fontId="124" fillId="25" borderId="86" xfId="83" applyFont="1" applyFill="1" applyBorder="1" applyAlignment="1">
      <alignment horizontal="center" vertical="center"/>
    </xf>
    <xf numFmtId="0" fontId="124" fillId="25" borderId="50" xfId="83" applyFont="1" applyFill="1" applyBorder="1" applyAlignment="1">
      <alignment horizontal="center" vertical="center"/>
    </xf>
    <xf numFmtId="0" fontId="123" fillId="25" borderId="96" xfId="83" applyFont="1" applyFill="1" applyBorder="1" applyAlignment="1">
      <alignment horizontal="center"/>
    </xf>
    <xf numFmtId="0" fontId="123" fillId="25" borderId="86" xfId="83" applyFont="1" applyFill="1" applyBorder="1" applyAlignment="1">
      <alignment horizontal="center"/>
    </xf>
    <xf numFmtId="0" fontId="123" fillId="25" borderId="50" xfId="83" applyFont="1" applyFill="1" applyBorder="1" applyAlignment="1">
      <alignment horizontal="center"/>
    </xf>
    <xf numFmtId="0" fontId="124" fillId="25" borderId="1" xfId="83" applyFont="1" applyFill="1" applyBorder="1" applyAlignment="1">
      <alignment horizontal="center" vertical="center"/>
    </xf>
    <xf numFmtId="0" fontId="124" fillId="25" borderId="99" xfId="83" applyFont="1" applyFill="1" applyBorder="1" applyAlignment="1">
      <alignment horizontal="left"/>
    </xf>
    <xf numFmtId="0" fontId="124" fillId="25" borderId="62" xfId="83" applyFont="1" applyFill="1" applyBorder="1" applyAlignment="1">
      <alignment horizontal="left"/>
    </xf>
    <xf numFmtId="0" fontId="124" fillId="25" borderId="63" xfId="83" applyFont="1" applyFill="1" applyBorder="1" applyAlignment="1">
      <alignment horizontal="left"/>
    </xf>
    <xf numFmtId="0" fontId="124" fillId="25" borderId="1" xfId="83" applyFont="1" applyFill="1" applyBorder="1" applyAlignment="1">
      <alignment horizontal="center"/>
    </xf>
    <xf numFmtId="0" fontId="124" fillId="25" borderId="89" xfId="83" applyFont="1" applyFill="1" applyBorder="1" applyAlignment="1">
      <alignment horizontal="left"/>
    </xf>
    <xf numFmtId="0" fontId="124" fillId="25" borderId="3" xfId="83" applyFont="1" applyFill="1" applyBorder="1" applyAlignment="1">
      <alignment horizontal="left"/>
    </xf>
    <xf numFmtId="0" fontId="124" fillId="25" borderId="4" xfId="83" applyFont="1" applyFill="1" applyBorder="1" applyAlignment="1">
      <alignment horizontal="left"/>
    </xf>
    <xf numFmtId="0" fontId="65" fillId="25" borderId="1" xfId="85" applyFont="1" applyFill="1" applyBorder="1" applyAlignment="1">
      <alignment horizontal="center" vertical="center"/>
    </xf>
    <xf numFmtId="0" fontId="124" fillId="25" borderId="73" xfId="83" applyFont="1" applyFill="1" applyBorder="1" applyAlignment="1">
      <alignment horizontal="left" vertical="center" wrapText="1"/>
    </xf>
    <xf numFmtId="0" fontId="64" fillId="25" borderId="82" xfId="83" applyFont="1" applyFill="1" applyBorder="1" applyAlignment="1">
      <alignment horizontal="left" vertical="center"/>
    </xf>
    <xf numFmtId="0" fontId="123" fillId="25" borderId="0" xfId="83" applyFont="1" applyFill="1" applyBorder="1" applyAlignment="1">
      <alignment horizontal="left"/>
    </xf>
    <xf numFmtId="0" fontId="79" fillId="0" borderId="0" xfId="0" applyFont="1" applyFill="1" applyAlignment="1">
      <alignment horizontal="center"/>
    </xf>
    <xf numFmtId="0" fontId="57" fillId="0" borderId="0" xfId="72" applyFont="1" applyFill="1" applyBorder="1" applyAlignment="1">
      <alignment horizontal="left" wrapText="1"/>
    </xf>
    <xf numFmtId="0" fontId="49" fillId="0" borderId="0" xfId="72" applyFont="1" applyBorder="1" applyAlignment="1">
      <alignment horizontal="center" vertical="center" wrapText="1"/>
    </xf>
    <xf numFmtId="0" fontId="53" fillId="0" borderId="109" xfId="82" applyFont="1" applyBorder="1" applyAlignment="1">
      <alignment horizontal="center"/>
    </xf>
    <xf numFmtId="173" fontId="112" fillId="0" borderId="0" xfId="80" applyNumberFormat="1" applyFont="1" applyFill="1" applyBorder="1" applyAlignment="1" applyProtection="1">
      <alignment horizontal="right"/>
    </xf>
    <xf numFmtId="0" fontId="53" fillId="0" borderId="109" xfId="73" applyFont="1" applyBorder="1" applyAlignment="1">
      <alignment horizontal="center"/>
    </xf>
    <xf numFmtId="0" fontId="80" fillId="0" borderId="0" xfId="81" applyFont="1" applyAlignment="1">
      <alignment horizontal="left" vertical="center" wrapText="1"/>
    </xf>
    <xf numFmtId="0" fontId="53" fillId="0" borderId="109" xfId="81" applyFont="1" applyBorder="1" applyAlignment="1">
      <alignment horizontal="center"/>
    </xf>
    <xf numFmtId="0" fontId="88" fillId="0" borderId="1" xfId="74" applyFont="1" applyFill="1" applyBorder="1" applyAlignment="1" applyProtection="1">
      <alignment horizontal="center" vertical="center" wrapText="1"/>
    </xf>
    <xf numFmtId="0" fontId="88" fillId="0" borderId="1" xfId="74" applyFont="1" applyFill="1" applyBorder="1" applyAlignment="1" applyProtection="1">
      <alignment vertical="center" wrapText="1"/>
    </xf>
    <xf numFmtId="0" fontId="114" fillId="30" borderId="24" xfId="74" applyFont="1" applyFill="1" applyBorder="1" applyAlignment="1" applyProtection="1">
      <alignment horizontal="center" vertical="center"/>
    </xf>
    <xf numFmtId="0" fontId="114" fillId="30" borderId="27" xfId="74" applyFont="1" applyFill="1" applyBorder="1" applyAlignment="1" applyProtection="1">
      <alignment horizontal="center" vertical="center"/>
    </xf>
    <xf numFmtId="0" fontId="114" fillId="30" borderId="25" xfId="74" applyFont="1" applyFill="1" applyBorder="1" applyAlignment="1" applyProtection="1">
      <alignment horizontal="center" vertical="center"/>
    </xf>
    <xf numFmtId="0" fontId="114" fillId="30" borderId="1" xfId="74" applyFont="1" applyFill="1" applyBorder="1" applyAlignment="1" applyProtection="1">
      <alignment horizontal="center" vertical="center"/>
    </xf>
    <xf numFmtId="0" fontId="107" fillId="0" borderId="1" xfId="0" applyFont="1" applyBorder="1" applyAlignment="1">
      <alignment horizontal="center" vertical="center" wrapText="1"/>
    </xf>
    <xf numFmtId="0" fontId="53" fillId="0" borderId="0" xfId="82" applyFont="1" applyAlignment="1">
      <alignment horizontal="left" wrapText="1"/>
    </xf>
    <xf numFmtId="0" fontId="85" fillId="0" borderId="0" xfId="82" applyFont="1" applyBorder="1" applyAlignment="1">
      <alignment horizontal="center"/>
    </xf>
    <xf numFmtId="0" fontId="107" fillId="33" borderId="1" xfId="0" applyFont="1" applyFill="1" applyBorder="1" applyAlignment="1">
      <alignment horizontal="center" vertical="center" wrapText="1"/>
    </xf>
    <xf numFmtId="0" fontId="48" fillId="28" borderId="131" xfId="0" applyFont="1" applyFill="1" applyBorder="1" applyAlignment="1">
      <alignment horizontal="center" vertical="center" wrapText="1"/>
    </xf>
  </cellXfs>
  <cellStyles count="8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1" builtinId="3"/>
    <cellStyle name="Ezres [0] 2" xfId="31"/>
    <cellStyle name="Ezres 2" xfId="32"/>
    <cellStyle name="Ezres 2 2" xfId="84"/>
    <cellStyle name="Ezres 3" xfId="33"/>
    <cellStyle name="Ezres 3 2" xfId="34"/>
    <cellStyle name="Ezres 3_célhitel állomány 2010 tervezéshez" xfId="35"/>
    <cellStyle name="Ezres 4" xfId="36"/>
    <cellStyle name="Ezres 4 2" xfId="37"/>
    <cellStyle name="Ezres 5" xfId="38"/>
    <cellStyle name="Ezres 6" xfId="39"/>
    <cellStyle name="Ezres 7" xfId="40"/>
    <cellStyle name="Ezres_4.2 Mese Könyvizsg Tábla egyszerű 7" xfId="8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ál" xfId="0" builtinId="0"/>
    <cellStyle name="Normál 2" xfId="49"/>
    <cellStyle name="Normál 2 2" xfId="50"/>
    <cellStyle name="Normál 2 4" xfId="51"/>
    <cellStyle name="Normál 2_4.4.5 utca Könyvvizsgálói tábla" xfId="52"/>
    <cellStyle name="Normál 3" xfId="53"/>
    <cellStyle name="Normál 4" xfId="54"/>
    <cellStyle name="Normál 4 2" xfId="83"/>
    <cellStyle name="Normál 5" xfId="55"/>
    <cellStyle name="Normál 5 2" xfId="56"/>
    <cellStyle name="Normál 5 3" xfId="79"/>
    <cellStyle name="Normál 7 2" xfId="78"/>
    <cellStyle name="Normál_1.napirendi pont melléklete - 2004. évi zárszámadási rendelet mell végl" xfId="77"/>
    <cellStyle name="Normál_18 utca indikátor" xfId="81"/>
    <cellStyle name="Normál_2005.2.a-2.etábl. terv" xfId="85"/>
    <cellStyle name="Normál_2012 Költségvetés pályázatok" xfId="72"/>
    <cellStyle name="Normál_5 utca indikátor" xfId="73"/>
    <cellStyle name="Normál_éles kötváll." xfId="57"/>
    <cellStyle name="Normál_Hunyadi indikátor" xfId="71"/>
    <cellStyle name="Normál_Indikatorok_2012_130411" xfId="74"/>
    <cellStyle name="Normál_Másolat eredetijeZARSZREND11" xfId="76"/>
    <cellStyle name="Normál_Mese indikátor" xfId="82"/>
    <cellStyle name="Normál_Részesedések a mérlegalátámasztás 2.sz. melléklete" xfId="68"/>
    <cellStyle name="Normál_Támop indikátor" xfId="75"/>
    <cellStyle name="Normál_vagyon, egyszerűsített mérleg 2007. dec 31." xfId="69"/>
    <cellStyle name="Note" xfId="58"/>
    <cellStyle name="Output" xfId="59"/>
    <cellStyle name="Pénznem" xfId="2" builtinId="4"/>
    <cellStyle name="Pénznem 2" xfId="60"/>
    <cellStyle name="Pénznem 3" xfId="61"/>
    <cellStyle name="Százalék 2" xfId="62"/>
    <cellStyle name="Százalék 2 2" xfId="63"/>
    <cellStyle name="Százalék 2_zárszámadás 0407.II" xfId="64"/>
    <cellStyle name="Százalék 3" xfId="70"/>
    <cellStyle name="Title" xfId="65"/>
    <cellStyle name="Total" xfId="66"/>
    <cellStyle name="Warning Text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adv&#225;ny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&#252;leti/2014.%20z&#225;rsz&#225;mad&#225;s%20otthon/P&#233;nzmaradv&#225;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adv&#225;ny%20mell&#233;kletek%20j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a.sz.m.Maradvány - int"/>
      <sheetName val="13.b.sz.m.Maradványkim.-Önk"/>
      <sheetName val="13.c.sz.m.Kötött maradvány"/>
      <sheetName val="13.d.sz.m.Szabad maradvány"/>
    </sheetNames>
    <sheetDataSet>
      <sheetData sheetId="0">
        <row r="5">
          <cell r="K5">
            <v>221601436</v>
          </cell>
        </row>
        <row r="6">
          <cell r="K6">
            <v>1867586082</v>
          </cell>
        </row>
        <row r="8">
          <cell r="K8">
            <v>1732245245</v>
          </cell>
        </row>
        <row r="9">
          <cell r="K9">
            <v>0</v>
          </cell>
        </row>
        <row r="14">
          <cell r="K14">
            <v>4509231</v>
          </cell>
        </row>
        <row r="15">
          <cell r="K15">
            <v>4509231</v>
          </cell>
        </row>
        <row r="16">
          <cell r="K16">
            <v>0</v>
          </cell>
        </row>
        <row r="18">
          <cell r="K18">
            <v>0</v>
          </cell>
        </row>
        <row r="20">
          <cell r="K20">
            <v>378408</v>
          </cell>
        </row>
      </sheetData>
      <sheetData sheetId="1"/>
      <sheetData sheetId="2">
        <row r="90">
          <cell r="C90">
            <v>6134100</v>
          </cell>
        </row>
        <row r="91">
          <cell r="C91">
            <v>46919478</v>
          </cell>
        </row>
        <row r="94">
          <cell r="C94">
            <v>22210720</v>
          </cell>
        </row>
        <row r="97">
          <cell r="C97">
            <v>2044893</v>
          </cell>
        </row>
        <row r="98">
          <cell r="C98">
            <v>659324</v>
          </cell>
        </row>
        <row r="99">
          <cell r="C99">
            <v>8078525</v>
          </cell>
        </row>
        <row r="100">
          <cell r="C100">
            <v>511208</v>
          </cell>
        </row>
        <row r="101">
          <cell r="C101">
            <v>859632</v>
          </cell>
        </row>
        <row r="102">
          <cell r="C102">
            <v>5407180</v>
          </cell>
        </row>
        <row r="103">
          <cell r="C103">
            <v>905711</v>
          </cell>
        </row>
        <row r="104">
          <cell r="C104">
            <v>314831</v>
          </cell>
        </row>
        <row r="105">
          <cell r="C105">
            <v>507808</v>
          </cell>
        </row>
        <row r="117">
          <cell r="C117">
            <v>264755</v>
          </cell>
        </row>
        <row r="148">
          <cell r="C148">
            <v>952776</v>
          </cell>
        </row>
        <row r="165">
          <cell r="C165">
            <v>793169</v>
          </cell>
        </row>
        <row r="181">
          <cell r="C181">
            <v>910745</v>
          </cell>
        </row>
        <row r="197">
          <cell r="C197">
            <v>438972</v>
          </cell>
        </row>
        <row r="217">
          <cell r="C217">
            <v>537115</v>
          </cell>
        </row>
        <row r="231">
          <cell r="C231">
            <v>611699</v>
          </cell>
        </row>
        <row r="235">
          <cell r="C235">
            <v>378408</v>
          </cell>
        </row>
      </sheetData>
      <sheetData sheetId="3">
        <row r="14">
          <cell r="F14">
            <v>179000000</v>
          </cell>
        </row>
        <row r="74">
          <cell r="D74">
            <v>3756000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ézmények"/>
      <sheetName val="Önkormányzat"/>
      <sheetName val="Kötött maradvány"/>
      <sheetName val="Szabad maradvány"/>
    </sheetNames>
    <sheetDataSet>
      <sheetData sheetId="0">
        <row r="3">
          <cell r="K3">
            <v>240744425</v>
          </cell>
        </row>
        <row r="10">
          <cell r="K10">
            <v>0</v>
          </cell>
        </row>
      </sheetData>
      <sheetData sheetId="1">
        <row r="13">
          <cell r="F13">
            <v>41881489</v>
          </cell>
        </row>
        <row r="17">
          <cell r="F17">
            <v>74838106</v>
          </cell>
        </row>
        <row r="20">
          <cell r="F20">
            <v>14585521</v>
          </cell>
        </row>
      </sheetData>
      <sheetData sheetId="2">
        <row r="23">
          <cell r="D23">
            <v>20966606</v>
          </cell>
        </row>
      </sheetData>
      <sheetData sheetId="3">
        <row r="12">
          <cell r="E12">
            <v>461549155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a.sz.m.Maradvány - int"/>
      <sheetName val="13.b.sz.m.Maradványkim.-Önk"/>
      <sheetName val="13.c.sz.m.Kötött maradvány"/>
      <sheetName val="13.d.sz.m.Szabad maradvány"/>
    </sheetNames>
    <sheetDataSet>
      <sheetData sheetId="0" refreshError="1"/>
      <sheetData sheetId="1">
        <row r="29">
          <cell r="F29">
            <v>898334622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23"/>
  <sheetViews>
    <sheetView view="pageLayout" topLeftCell="H1" zoomScaleNormal="100" workbookViewId="0">
      <selection activeCell="M32" sqref="M32"/>
    </sheetView>
  </sheetViews>
  <sheetFormatPr defaultRowHeight="15" x14ac:dyDescent="0.25"/>
  <cols>
    <col min="2" max="4" width="16.7109375" customWidth="1"/>
  </cols>
  <sheetData>
    <row r="11" spans="2:4" ht="57.75" customHeight="1" x14ac:dyDescent="0.25">
      <c r="B11" s="735" t="s">
        <v>1042</v>
      </c>
      <c r="C11" s="735"/>
      <c r="D11" s="735"/>
    </row>
    <row r="12" spans="2:4" hidden="1" x14ac:dyDescent="0.25">
      <c r="B12" s="735"/>
      <c r="C12" s="735"/>
      <c r="D12" s="735"/>
    </row>
    <row r="17" spans="2:4" x14ac:dyDescent="0.25">
      <c r="C17" s="305" t="s">
        <v>872</v>
      </c>
    </row>
    <row r="20" spans="2:4" ht="24.75" customHeight="1" x14ac:dyDescent="0.25"/>
    <row r="22" spans="2:4" x14ac:dyDescent="0.25">
      <c r="B22" s="735" t="s">
        <v>1450</v>
      </c>
      <c r="C22" s="735"/>
      <c r="D22" s="735"/>
    </row>
    <row r="23" spans="2:4" x14ac:dyDescent="0.25">
      <c r="B23" s="735"/>
      <c r="C23" s="735"/>
      <c r="D23" s="735"/>
    </row>
  </sheetData>
  <mergeCells count="2">
    <mergeCell ref="B11:D12"/>
    <mergeCell ref="B22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Normal="100" zoomScaleSheetLayoutView="100" workbookViewId="0">
      <selection activeCell="D12" sqref="D12"/>
    </sheetView>
  </sheetViews>
  <sheetFormatPr defaultColWidth="8" defaultRowHeight="12.75" x14ac:dyDescent="0.2"/>
  <cols>
    <col min="1" max="1" width="3.42578125" style="201" customWidth="1"/>
    <col min="2" max="2" width="32.7109375" style="201" customWidth="1"/>
    <col min="3" max="3" width="16.140625" style="201" bestFit="1" customWidth="1"/>
    <col min="4" max="7" width="14" style="201" bestFit="1" customWidth="1"/>
    <col min="8" max="9" width="13.42578125" style="201" customWidth="1"/>
    <col min="10" max="10" width="14" style="201" bestFit="1" customWidth="1"/>
    <col min="11" max="12" width="9.140625" style="201" customWidth="1"/>
    <col min="13" max="13" width="11.42578125" style="201" customWidth="1"/>
    <col min="14" max="16384" width="8" style="201"/>
  </cols>
  <sheetData>
    <row r="1" spans="1:16" ht="15" x14ac:dyDescent="0.25">
      <c r="C1" s="202"/>
    </row>
    <row r="2" spans="1:16" ht="15" x14ac:dyDescent="0.25">
      <c r="C2" s="202"/>
    </row>
    <row r="3" spans="1:16" ht="24.75" customHeight="1" x14ac:dyDescent="0.2">
      <c r="A3" s="867" t="s">
        <v>1043</v>
      </c>
      <c r="B3" s="867"/>
      <c r="C3" s="867"/>
      <c r="D3" s="867"/>
      <c r="E3" s="867"/>
      <c r="F3" s="867"/>
      <c r="G3" s="867"/>
      <c r="H3" s="867"/>
      <c r="I3" s="867"/>
      <c r="J3" s="867"/>
      <c r="K3" s="203"/>
      <c r="L3" s="204"/>
    </row>
    <row r="4" spans="1:16" ht="18" customHeight="1" x14ac:dyDescent="0.2">
      <c r="A4" s="204"/>
      <c r="B4" s="204"/>
      <c r="C4" s="204"/>
      <c r="I4" s="868" t="s">
        <v>682</v>
      </c>
      <c r="J4" s="868"/>
      <c r="K4" s="205"/>
      <c r="L4" s="205"/>
    </row>
    <row r="5" spans="1:16" s="212" customFormat="1" ht="71.25" customHeight="1" x14ac:dyDescent="0.2">
      <c r="A5" s="206" t="s">
        <v>70</v>
      </c>
      <c r="B5" s="207" t="s">
        <v>2</v>
      </c>
      <c r="C5" s="208" t="s">
        <v>683</v>
      </c>
      <c r="D5" s="209" t="s">
        <v>11</v>
      </c>
      <c r="E5" s="209" t="s">
        <v>12</v>
      </c>
      <c r="F5" s="209" t="s">
        <v>13</v>
      </c>
      <c r="G5" s="209" t="s">
        <v>14</v>
      </c>
      <c r="H5" s="209" t="s">
        <v>67</v>
      </c>
      <c r="I5" s="209" t="s">
        <v>41</v>
      </c>
      <c r="J5" s="209" t="s">
        <v>15</v>
      </c>
      <c r="K5" s="210"/>
      <c r="L5" s="211"/>
    </row>
    <row r="6" spans="1:16" ht="51" customHeight="1" x14ac:dyDescent="0.2">
      <c r="A6" s="213" t="s">
        <v>3</v>
      </c>
      <c r="B6" s="214" t="s">
        <v>1293</v>
      </c>
      <c r="C6" s="215">
        <f t="shared" ref="C6:J6" si="0">+C7+C8</f>
        <v>587312296</v>
      </c>
      <c r="D6" s="215">
        <f t="shared" si="0"/>
        <v>1917149</v>
      </c>
      <c r="E6" s="215">
        <f t="shared" si="0"/>
        <v>1397994</v>
      </c>
      <c r="F6" s="215">
        <f t="shared" si="0"/>
        <v>2364217</v>
      </c>
      <c r="G6" s="215">
        <f t="shared" si="0"/>
        <v>986495</v>
      </c>
      <c r="H6" s="215">
        <f t="shared" si="0"/>
        <v>1224437</v>
      </c>
      <c r="I6" s="215">
        <v>449137</v>
      </c>
      <c r="J6" s="215">
        <f t="shared" si="0"/>
        <v>997955</v>
      </c>
      <c r="L6" s="216"/>
      <c r="M6" s="217"/>
    </row>
    <row r="7" spans="1:16" ht="31.5" customHeight="1" x14ac:dyDescent="0.2">
      <c r="A7" s="213" t="s">
        <v>4</v>
      </c>
      <c r="B7" s="218" t="s">
        <v>684</v>
      </c>
      <c r="C7" s="219">
        <v>587225799</v>
      </c>
      <c r="D7" s="220">
        <v>1782084</v>
      </c>
      <c r="E7" s="220">
        <v>1342731</v>
      </c>
      <c r="F7" s="220">
        <v>2308215</v>
      </c>
      <c r="G7" s="220">
        <v>986495</v>
      </c>
      <c r="H7" s="220">
        <v>1085788</v>
      </c>
      <c r="I7" s="220">
        <v>293409</v>
      </c>
      <c r="J7" s="220">
        <v>868242</v>
      </c>
      <c r="L7" s="221"/>
      <c r="M7" s="217"/>
    </row>
    <row r="8" spans="1:16" ht="35.25" customHeight="1" x14ac:dyDescent="0.2">
      <c r="A8" s="222" t="s">
        <v>5</v>
      </c>
      <c r="B8" s="223" t="s">
        <v>685</v>
      </c>
      <c r="C8" s="224">
        <v>86497</v>
      </c>
      <c r="D8" s="225">
        <v>135065</v>
      </c>
      <c r="E8" s="225">
        <v>55263</v>
      </c>
      <c r="F8" s="225">
        <v>56002</v>
      </c>
      <c r="G8" s="225"/>
      <c r="H8" s="225">
        <v>138649</v>
      </c>
      <c r="I8" s="225">
        <v>152136</v>
      </c>
      <c r="J8" s="225">
        <v>129713</v>
      </c>
      <c r="L8" s="221"/>
      <c r="M8" s="217"/>
    </row>
    <row r="9" spans="1:16" ht="33.75" customHeight="1" x14ac:dyDescent="0.2">
      <c r="A9" s="226" t="s">
        <v>6</v>
      </c>
      <c r="B9" s="227" t="s">
        <v>686</v>
      </c>
      <c r="C9" s="228">
        <v>4377943243</v>
      </c>
      <c r="D9" s="229">
        <f>464446984-2185114</f>
        <v>462261870</v>
      </c>
      <c r="E9" s="229">
        <f>116365812-1574008</f>
        <v>114791804</v>
      </c>
      <c r="F9" s="229">
        <f>582207251-2815099</f>
        <v>579392152</v>
      </c>
      <c r="G9" s="229">
        <f>305875276-1810642</f>
        <v>304064634</v>
      </c>
      <c r="H9" s="229">
        <f>68257991-1757504</f>
        <v>66500487</v>
      </c>
      <c r="I9" s="229">
        <f>42076943-502545</f>
        <v>41574398</v>
      </c>
      <c r="J9" s="230">
        <f>374616424-1605955</f>
        <v>373010469</v>
      </c>
      <c r="L9" s="231"/>
      <c r="M9" s="217"/>
    </row>
    <row r="10" spans="1:16" ht="33.75" customHeight="1" x14ac:dyDescent="0.2">
      <c r="A10" s="213" t="s">
        <v>7</v>
      </c>
      <c r="B10" s="232" t="s">
        <v>687</v>
      </c>
      <c r="C10" s="219">
        <v>3946466338</v>
      </c>
      <c r="D10" s="220">
        <v>451105635</v>
      </c>
      <c r="E10" s="220">
        <v>110995817</v>
      </c>
      <c r="F10" s="220">
        <v>539773666</v>
      </c>
      <c r="G10" s="220">
        <v>299262385</v>
      </c>
      <c r="H10" s="220">
        <v>63905608</v>
      </c>
      <c r="I10" s="220">
        <v>39130971</v>
      </c>
      <c r="J10" s="233">
        <v>363412000</v>
      </c>
      <c r="L10" s="231"/>
      <c r="M10" s="217"/>
    </row>
    <row r="11" spans="1:16" ht="33.75" customHeight="1" x14ac:dyDescent="0.2">
      <c r="A11" s="234" t="s">
        <v>8</v>
      </c>
      <c r="B11" s="235" t="s">
        <v>688</v>
      </c>
      <c r="C11" s="236">
        <v>127040034</v>
      </c>
      <c r="D11" s="237">
        <v>-261735</v>
      </c>
      <c r="E11" s="237">
        <v>-175000</v>
      </c>
      <c r="F11" s="237">
        <v>-505289</v>
      </c>
      <c r="G11" s="237">
        <v>-824147</v>
      </c>
      <c r="H11" s="237">
        <v>-112254</v>
      </c>
      <c r="I11" s="237">
        <v>-53408</v>
      </c>
      <c r="J11" s="238">
        <v>-608000</v>
      </c>
      <c r="L11" s="231"/>
      <c r="M11" s="217"/>
    </row>
    <row r="12" spans="1:16" ht="51" customHeight="1" x14ac:dyDescent="0.2">
      <c r="A12" s="239" t="s">
        <v>9</v>
      </c>
      <c r="B12" s="240" t="s">
        <v>1294</v>
      </c>
      <c r="C12" s="241">
        <f>+C6+C9-C10-C11</f>
        <v>891749167</v>
      </c>
      <c r="D12" s="241">
        <f t="shared" ref="D12:J12" si="1">+D6+D9-D10-D11</f>
        <v>13335119</v>
      </c>
      <c r="E12" s="241">
        <f t="shared" si="1"/>
        <v>5368981</v>
      </c>
      <c r="F12" s="241">
        <f t="shared" si="1"/>
        <v>42487992</v>
      </c>
      <c r="G12" s="241">
        <f t="shared" si="1"/>
        <v>6612891</v>
      </c>
      <c r="H12" s="241">
        <f t="shared" si="1"/>
        <v>3931570</v>
      </c>
      <c r="I12" s="241">
        <f t="shared" si="1"/>
        <v>2945972</v>
      </c>
      <c r="J12" s="241">
        <f t="shared" si="1"/>
        <v>11204424</v>
      </c>
      <c r="L12" s="242"/>
      <c r="M12" s="217"/>
    </row>
    <row r="13" spans="1:16" ht="31.5" customHeight="1" x14ac:dyDescent="0.2">
      <c r="A13" s="213" t="s">
        <v>23</v>
      </c>
      <c r="B13" s="218" t="s">
        <v>684</v>
      </c>
      <c r="C13" s="243">
        <f>+C12-C14</f>
        <v>891505668</v>
      </c>
      <c r="D13" s="243">
        <f t="shared" ref="D13:J13" si="2">+D12-D14</f>
        <v>13206082</v>
      </c>
      <c r="E13" s="243">
        <f t="shared" si="2"/>
        <v>5344262</v>
      </c>
      <c r="F13" s="243">
        <f t="shared" si="2"/>
        <v>42333795</v>
      </c>
      <c r="G13" s="243">
        <f t="shared" si="2"/>
        <v>6612891</v>
      </c>
      <c r="H13" s="243">
        <f t="shared" si="2"/>
        <v>3701558</v>
      </c>
      <c r="I13" s="243">
        <f t="shared" si="2"/>
        <v>2825402</v>
      </c>
      <c r="J13" s="243">
        <f t="shared" si="2"/>
        <v>11102942</v>
      </c>
      <c r="L13" s="231"/>
      <c r="M13" s="217"/>
      <c r="P13" s="218"/>
    </row>
    <row r="14" spans="1:16" ht="31.5" customHeight="1" x14ac:dyDescent="0.2">
      <c r="A14" s="234" t="s">
        <v>25</v>
      </c>
      <c r="B14" s="244" t="s">
        <v>689</v>
      </c>
      <c r="C14" s="245">
        <v>243499</v>
      </c>
      <c r="D14" s="245">
        <v>129037</v>
      </c>
      <c r="E14" s="245">
        <v>24719</v>
      </c>
      <c r="F14" s="245">
        <v>154197</v>
      </c>
      <c r="G14" s="245"/>
      <c r="H14" s="245">
        <v>230012</v>
      </c>
      <c r="I14" s="245">
        <v>120570</v>
      </c>
      <c r="J14" s="245">
        <v>101482</v>
      </c>
      <c r="L14" s="231"/>
      <c r="M14" s="217"/>
    </row>
    <row r="15" spans="1:16" ht="31.5" customHeight="1" x14ac:dyDescent="0.2">
      <c r="B15" s="246" t="s">
        <v>690</v>
      </c>
      <c r="C15" s="247">
        <v>1586850</v>
      </c>
      <c r="D15" s="248"/>
      <c r="E15" s="248"/>
      <c r="F15" s="248"/>
      <c r="G15" s="248"/>
      <c r="H15" s="248"/>
      <c r="I15" s="248"/>
      <c r="J15" s="248"/>
    </row>
    <row r="18" spans="3:12" x14ac:dyDescent="0.2">
      <c r="C18" s="249">
        <f>+C6</f>
        <v>587312296</v>
      </c>
      <c r="D18" s="249">
        <f t="shared" ref="D18:J18" si="3">+D6</f>
        <v>1917149</v>
      </c>
      <c r="E18" s="249">
        <f t="shared" si="3"/>
        <v>1397994</v>
      </c>
      <c r="F18" s="249">
        <f t="shared" si="3"/>
        <v>2364217</v>
      </c>
      <c r="G18" s="249">
        <f t="shared" si="3"/>
        <v>986495</v>
      </c>
      <c r="H18" s="249">
        <f t="shared" si="3"/>
        <v>1224437</v>
      </c>
      <c r="I18" s="249">
        <f t="shared" si="3"/>
        <v>449137</v>
      </c>
      <c r="J18" s="249">
        <f t="shared" si="3"/>
        <v>997955</v>
      </c>
      <c r="K18" s="249"/>
      <c r="L18" s="249"/>
    </row>
    <row r="19" spans="3:12" ht="7.5" customHeight="1" x14ac:dyDescent="0.2">
      <c r="C19" s="249"/>
      <c r="D19" s="249"/>
      <c r="E19" s="249"/>
      <c r="F19" s="249"/>
      <c r="G19" s="249"/>
      <c r="H19" s="249"/>
      <c r="I19" s="249"/>
      <c r="J19" s="249"/>
      <c r="K19" s="249"/>
      <c r="L19" s="249"/>
    </row>
    <row r="20" spans="3:12" x14ac:dyDescent="0.2">
      <c r="C20" s="249">
        <f>+C9-C10+C11</f>
        <v>558516939</v>
      </c>
      <c r="D20" s="249">
        <f t="shared" ref="D20:J20" si="4">+D9-D10+D11</f>
        <v>10894500</v>
      </c>
      <c r="E20" s="249">
        <f t="shared" si="4"/>
        <v>3620987</v>
      </c>
      <c r="F20" s="249">
        <f t="shared" si="4"/>
        <v>39113197</v>
      </c>
      <c r="G20" s="249">
        <f t="shared" si="4"/>
        <v>3978102</v>
      </c>
      <c r="H20" s="249">
        <f t="shared" si="4"/>
        <v>2482625</v>
      </c>
      <c r="I20" s="249">
        <f t="shared" si="4"/>
        <v>2390019</v>
      </c>
      <c r="J20" s="249">
        <f t="shared" si="4"/>
        <v>8990469</v>
      </c>
      <c r="K20" s="249"/>
      <c r="L20" s="249"/>
    </row>
    <row r="22" spans="3:12" x14ac:dyDescent="0.2">
      <c r="C22" s="249">
        <f>+C18+C20</f>
        <v>1145829235</v>
      </c>
      <c r="D22" s="249">
        <f>+D18+D20</f>
        <v>12811649</v>
      </c>
      <c r="E22" s="249">
        <f>+E18+E20</f>
        <v>5018981</v>
      </c>
      <c r="F22" s="249">
        <f t="shared" ref="F22:J22" si="5">+F18+F20</f>
        <v>41477414</v>
      </c>
      <c r="G22" s="249">
        <f t="shared" si="5"/>
        <v>4964597</v>
      </c>
      <c r="H22" s="249">
        <f t="shared" si="5"/>
        <v>3707062</v>
      </c>
      <c r="I22" s="249">
        <f t="shared" si="5"/>
        <v>2839156</v>
      </c>
      <c r="J22" s="249">
        <f t="shared" si="5"/>
        <v>9988424</v>
      </c>
    </row>
    <row r="24" spans="3:12" x14ac:dyDescent="0.2">
      <c r="C24" s="250">
        <f>+C22-C12</f>
        <v>254080068</v>
      </c>
      <c r="D24" s="250">
        <f t="shared" ref="D24:J24" si="6">+D22-D12</f>
        <v>-523470</v>
      </c>
      <c r="E24" s="250">
        <f t="shared" si="6"/>
        <v>-350000</v>
      </c>
      <c r="F24" s="250">
        <f t="shared" si="6"/>
        <v>-1010578</v>
      </c>
      <c r="G24" s="250">
        <f t="shared" si="6"/>
        <v>-1648294</v>
      </c>
      <c r="H24" s="250">
        <f t="shared" si="6"/>
        <v>-224508</v>
      </c>
      <c r="I24" s="250">
        <f t="shared" si="6"/>
        <v>-106816</v>
      </c>
      <c r="J24" s="250">
        <f t="shared" si="6"/>
        <v>-1216000</v>
      </c>
    </row>
    <row r="25" spans="3:12" x14ac:dyDescent="0.2">
      <c r="C25" s="251">
        <f>+C13+C14</f>
        <v>891749167</v>
      </c>
    </row>
    <row r="27" spans="3:12" x14ac:dyDescent="0.2">
      <c r="C27" s="251"/>
    </row>
  </sheetData>
  <mergeCells count="2">
    <mergeCell ref="A3:J3"/>
    <mergeCell ref="I4:J4"/>
  </mergeCells>
  <printOptions horizontalCentered="1"/>
  <pageMargins left="0.17" right="0.17" top="0.65" bottom="0.73" header="0.43" footer="0.47"/>
  <pageSetup paperSize="9" scale="92" orientation="landscape" r:id="rId1"/>
  <headerFooter alignWithMargins="0">
    <oddHeader>&amp;CDunaharaszti Város Önkormányzat 2016. évi zárszámadás&amp;R&amp;A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view="pageBreakPreview" zoomScale="82" zoomScaleNormal="100" zoomScaleSheetLayoutView="82" workbookViewId="0">
      <selection activeCell="D31" sqref="D31"/>
    </sheetView>
  </sheetViews>
  <sheetFormatPr defaultRowHeight="12.75" x14ac:dyDescent="0.2"/>
  <cols>
    <col min="1" max="1" width="9.140625" style="113" customWidth="1"/>
    <col min="2" max="2" width="74.28515625" style="113" customWidth="1"/>
    <col min="3" max="5" width="26.85546875" style="113" customWidth="1"/>
    <col min="6" max="256" width="9.140625" style="113"/>
    <col min="257" max="257" width="8.140625" style="113" customWidth="1"/>
    <col min="258" max="258" width="41" style="113" customWidth="1"/>
    <col min="259" max="261" width="32.85546875" style="113" customWidth="1"/>
    <col min="262" max="512" width="9.140625" style="113"/>
    <col min="513" max="513" width="8.140625" style="113" customWidth="1"/>
    <col min="514" max="514" width="41" style="113" customWidth="1"/>
    <col min="515" max="517" width="32.85546875" style="113" customWidth="1"/>
    <col min="518" max="768" width="9.140625" style="113"/>
    <col min="769" max="769" width="8.140625" style="113" customWidth="1"/>
    <col min="770" max="770" width="41" style="113" customWidth="1"/>
    <col min="771" max="773" width="32.85546875" style="113" customWidth="1"/>
    <col min="774" max="1024" width="9.140625" style="113"/>
    <col min="1025" max="1025" width="8.140625" style="113" customWidth="1"/>
    <col min="1026" max="1026" width="41" style="113" customWidth="1"/>
    <col min="1027" max="1029" width="32.85546875" style="113" customWidth="1"/>
    <col min="1030" max="1280" width="9.140625" style="113"/>
    <col min="1281" max="1281" width="8.140625" style="113" customWidth="1"/>
    <col min="1282" max="1282" width="41" style="113" customWidth="1"/>
    <col min="1283" max="1285" width="32.85546875" style="113" customWidth="1"/>
    <col min="1286" max="1536" width="9.140625" style="113"/>
    <col min="1537" max="1537" width="8.140625" style="113" customWidth="1"/>
    <col min="1538" max="1538" width="41" style="113" customWidth="1"/>
    <col min="1539" max="1541" width="32.85546875" style="113" customWidth="1"/>
    <col min="1542" max="1792" width="9.140625" style="113"/>
    <col min="1793" max="1793" width="8.140625" style="113" customWidth="1"/>
    <col min="1794" max="1794" width="41" style="113" customWidth="1"/>
    <col min="1795" max="1797" width="32.85546875" style="113" customWidth="1"/>
    <col min="1798" max="2048" width="9.140625" style="113"/>
    <col min="2049" max="2049" width="8.140625" style="113" customWidth="1"/>
    <col min="2050" max="2050" width="41" style="113" customWidth="1"/>
    <col min="2051" max="2053" width="32.85546875" style="113" customWidth="1"/>
    <col min="2054" max="2304" width="9.140625" style="113"/>
    <col min="2305" max="2305" width="8.140625" style="113" customWidth="1"/>
    <col min="2306" max="2306" width="41" style="113" customWidth="1"/>
    <col min="2307" max="2309" width="32.85546875" style="113" customWidth="1"/>
    <col min="2310" max="2560" width="9.140625" style="113"/>
    <col min="2561" max="2561" width="8.140625" style="113" customWidth="1"/>
    <col min="2562" max="2562" width="41" style="113" customWidth="1"/>
    <col min="2563" max="2565" width="32.85546875" style="113" customWidth="1"/>
    <col min="2566" max="2816" width="9.140625" style="113"/>
    <col min="2817" max="2817" width="8.140625" style="113" customWidth="1"/>
    <col min="2818" max="2818" width="41" style="113" customWidth="1"/>
    <col min="2819" max="2821" width="32.85546875" style="113" customWidth="1"/>
    <col min="2822" max="3072" width="9.140625" style="113"/>
    <col min="3073" max="3073" width="8.140625" style="113" customWidth="1"/>
    <col min="3074" max="3074" width="41" style="113" customWidth="1"/>
    <col min="3075" max="3077" width="32.85546875" style="113" customWidth="1"/>
    <col min="3078" max="3328" width="9.140625" style="113"/>
    <col min="3329" max="3329" width="8.140625" style="113" customWidth="1"/>
    <col min="3330" max="3330" width="41" style="113" customWidth="1"/>
    <col min="3331" max="3333" width="32.85546875" style="113" customWidth="1"/>
    <col min="3334" max="3584" width="9.140625" style="113"/>
    <col min="3585" max="3585" width="8.140625" style="113" customWidth="1"/>
    <col min="3586" max="3586" width="41" style="113" customWidth="1"/>
    <col min="3587" max="3589" width="32.85546875" style="113" customWidth="1"/>
    <col min="3590" max="3840" width="9.140625" style="113"/>
    <col min="3841" max="3841" width="8.140625" style="113" customWidth="1"/>
    <col min="3842" max="3842" width="41" style="113" customWidth="1"/>
    <col min="3843" max="3845" width="32.85546875" style="113" customWidth="1"/>
    <col min="3846" max="4096" width="9.140625" style="113"/>
    <col min="4097" max="4097" width="8.140625" style="113" customWidth="1"/>
    <col min="4098" max="4098" width="41" style="113" customWidth="1"/>
    <col min="4099" max="4101" width="32.85546875" style="113" customWidth="1"/>
    <col min="4102" max="4352" width="9.140625" style="113"/>
    <col min="4353" max="4353" width="8.140625" style="113" customWidth="1"/>
    <col min="4354" max="4354" width="41" style="113" customWidth="1"/>
    <col min="4355" max="4357" width="32.85546875" style="113" customWidth="1"/>
    <col min="4358" max="4608" width="9.140625" style="113"/>
    <col min="4609" max="4609" width="8.140625" style="113" customWidth="1"/>
    <col min="4610" max="4610" width="41" style="113" customWidth="1"/>
    <col min="4611" max="4613" width="32.85546875" style="113" customWidth="1"/>
    <col min="4614" max="4864" width="9.140625" style="113"/>
    <col min="4865" max="4865" width="8.140625" style="113" customWidth="1"/>
    <col min="4866" max="4866" width="41" style="113" customWidth="1"/>
    <col min="4867" max="4869" width="32.85546875" style="113" customWidth="1"/>
    <col min="4870" max="5120" width="9.140625" style="113"/>
    <col min="5121" max="5121" width="8.140625" style="113" customWidth="1"/>
    <col min="5122" max="5122" width="41" style="113" customWidth="1"/>
    <col min="5123" max="5125" width="32.85546875" style="113" customWidth="1"/>
    <col min="5126" max="5376" width="9.140625" style="113"/>
    <col min="5377" max="5377" width="8.140625" style="113" customWidth="1"/>
    <col min="5378" max="5378" width="41" style="113" customWidth="1"/>
    <col min="5379" max="5381" width="32.85546875" style="113" customWidth="1"/>
    <col min="5382" max="5632" width="9.140625" style="113"/>
    <col min="5633" max="5633" width="8.140625" style="113" customWidth="1"/>
    <col min="5634" max="5634" width="41" style="113" customWidth="1"/>
    <col min="5635" max="5637" width="32.85546875" style="113" customWidth="1"/>
    <col min="5638" max="5888" width="9.140625" style="113"/>
    <col min="5889" max="5889" width="8.140625" style="113" customWidth="1"/>
    <col min="5890" max="5890" width="41" style="113" customWidth="1"/>
    <col min="5891" max="5893" width="32.85546875" style="113" customWidth="1"/>
    <col min="5894" max="6144" width="9.140625" style="113"/>
    <col min="6145" max="6145" width="8.140625" style="113" customWidth="1"/>
    <col min="6146" max="6146" width="41" style="113" customWidth="1"/>
    <col min="6147" max="6149" width="32.85546875" style="113" customWidth="1"/>
    <col min="6150" max="6400" width="9.140625" style="113"/>
    <col min="6401" max="6401" width="8.140625" style="113" customWidth="1"/>
    <col min="6402" max="6402" width="41" style="113" customWidth="1"/>
    <col min="6403" max="6405" width="32.85546875" style="113" customWidth="1"/>
    <col min="6406" max="6656" width="9.140625" style="113"/>
    <col min="6657" max="6657" width="8.140625" style="113" customWidth="1"/>
    <col min="6658" max="6658" width="41" style="113" customWidth="1"/>
    <col min="6659" max="6661" width="32.85546875" style="113" customWidth="1"/>
    <col min="6662" max="6912" width="9.140625" style="113"/>
    <col min="6913" max="6913" width="8.140625" style="113" customWidth="1"/>
    <col min="6914" max="6914" width="41" style="113" customWidth="1"/>
    <col min="6915" max="6917" width="32.85546875" style="113" customWidth="1"/>
    <col min="6918" max="7168" width="9.140625" style="113"/>
    <col min="7169" max="7169" width="8.140625" style="113" customWidth="1"/>
    <col min="7170" max="7170" width="41" style="113" customWidth="1"/>
    <col min="7171" max="7173" width="32.85546875" style="113" customWidth="1"/>
    <col min="7174" max="7424" width="9.140625" style="113"/>
    <col min="7425" max="7425" width="8.140625" style="113" customWidth="1"/>
    <col min="7426" max="7426" width="41" style="113" customWidth="1"/>
    <col min="7427" max="7429" width="32.85546875" style="113" customWidth="1"/>
    <col min="7430" max="7680" width="9.140625" style="113"/>
    <col min="7681" max="7681" width="8.140625" style="113" customWidth="1"/>
    <col min="7682" max="7682" width="41" style="113" customWidth="1"/>
    <col min="7683" max="7685" width="32.85546875" style="113" customWidth="1"/>
    <col min="7686" max="7936" width="9.140625" style="113"/>
    <col min="7937" max="7937" width="8.140625" style="113" customWidth="1"/>
    <col min="7938" max="7938" width="41" style="113" customWidth="1"/>
    <col min="7939" max="7941" width="32.85546875" style="113" customWidth="1"/>
    <col min="7942" max="8192" width="9.140625" style="113"/>
    <col min="8193" max="8193" width="8.140625" style="113" customWidth="1"/>
    <col min="8194" max="8194" width="41" style="113" customWidth="1"/>
    <col min="8195" max="8197" width="32.85546875" style="113" customWidth="1"/>
    <col min="8198" max="8448" width="9.140625" style="113"/>
    <col min="8449" max="8449" width="8.140625" style="113" customWidth="1"/>
    <col min="8450" max="8450" width="41" style="113" customWidth="1"/>
    <col min="8451" max="8453" width="32.85546875" style="113" customWidth="1"/>
    <col min="8454" max="8704" width="9.140625" style="113"/>
    <col min="8705" max="8705" width="8.140625" style="113" customWidth="1"/>
    <col min="8706" max="8706" width="41" style="113" customWidth="1"/>
    <col min="8707" max="8709" width="32.85546875" style="113" customWidth="1"/>
    <col min="8710" max="8960" width="9.140625" style="113"/>
    <col min="8961" max="8961" width="8.140625" style="113" customWidth="1"/>
    <col min="8962" max="8962" width="41" style="113" customWidth="1"/>
    <col min="8963" max="8965" width="32.85546875" style="113" customWidth="1"/>
    <col min="8966" max="9216" width="9.140625" style="113"/>
    <col min="9217" max="9217" width="8.140625" style="113" customWidth="1"/>
    <col min="9218" max="9218" width="41" style="113" customWidth="1"/>
    <col min="9219" max="9221" width="32.85546875" style="113" customWidth="1"/>
    <col min="9222" max="9472" width="9.140625" style="113"/>
    <col min="9473" max="9473" width="8.140625" style="113" customWidth="1"/>
    <col min="9474" max="9474" width="41" style="113" customWidth="1"/>
    <col min="9475" max="9477" width="32.85546875" style="113" customWidth="1"/>
    <col min="9478" max="9728" width="9.140625" style="113"/>
    <col min="9729" max="9729" width="8.140625" style="113" customWidth="1"/>
    <col min="9730" max="9730" width="41" style="113" customWidth="1"/>
    <col min="9731" max="9733" width="32.85546875" style="113" customWidth="1"/>
    <col min="9734" max="9984" width="9.140625" style="113"/>
    <col min="9985" max="9985" width="8.140625" style="113" customWidth="1"/>
    <col min="9986" max="9986" width="41" style="113" customWidth="1"/>
    <col min="9987" max="9989" width="32.85546875" style="113" customWidth="1"/>
    <col min="9990" max="10240" width="9.140625" style="113"/>
    <col min="10241" max="10241" width="8.140625" style="113" customWidth="1"/>
    <col min="10242" max="10242" width="41" style="113" customWidth="1"/>
    <col min="10243" max="10245" width="32.85546875" style="113" customWidth="1"/>
    <col min="10246" max="10496" width="9.140625" style="113"/>
    <col min="10497" max="10497" width="8.140625" style="113" customWidth="1"/>
    <col min="10498" max="10498" width="41" style="113" customWidth="1"/>
    <col min="10499" max="10501" width="32.85546875" style="113" customWidth="1"/>
    <col min="10502" max="10752" width="9.140625" style="113"/>
    <col min="10753" max="10753" width="8.140625" style="113" customWidth="1"/>
    <col min="10754" max="10754" width="41" style="113" customWidth="1"/>
    <col min="10755" max="10757" width="32.85546875" style="113" customWidth="1"/>
    <col min="10758" max="11008" width="9.140625" style="113"/>
    <col min="11009" max="11009" width="8.140625" style="113" customWidth="1"/>
    <col min="11010" max="11010" width="41" style="113" customWidth="1"/>
    <col min="11011" max="11013" width="32.85546875" style="113" customWidth="1"/>
    <col min="11014" max="11264" width="9.140625" style="113"/>
    <col min="11265" max="11265" width="8.140625" style="113" customWidth="1"/>
    <col min="11266" max="11266" width="41" style="113" customWidth="1"/>
    <col min="11267" max="11269" width="32.85546875" style="113" customWidth="1"/>
    <col min="11270" max="11520" width="9.140625" style="113"/>
    <col min="11521" max="11521" width="8.140625" style="113" customWidth="1"/>
    <col min="11522" max="11522" width="41" style="113" customWidth="1"/>
    <col min="11523" max="11525" width="32.85546875" style="113" customWidth="1"/>
    <col min="11526" max="11776" width="9.140625" style="113"/>
    <col min="11777" max="11777" width="8.140625" style="113" customWidth="1"/>
    <col min="11778" max="11778" width="41" style="113" customWidth="1"/>
    <col min="11779" max="11781" width="32.85546875" style="113" customWidth="1"/>
    <col min="11782" max="12032" width="9.140625" style="113"/>
    <col min="12033" max="12033" width="8.140625" style="113" customWidth="1"/>
    <col min="12034" max="12034" width="41" style="113" customWidth="1"/>
    <col min="12035" max="12037" width="32.85546875" style="113" customWidth="1"/>
    <col min="12038" max="12288" width="9.140625" style="113"/>
    <col min="12289" max="12289" width="8.140625" style="113" customWidth="1"/>
    <col min="12290" max="12290" width="41" style="113" customWidth="1"/>
    <col min="12291" max="12293" width="32.85546875" style="113" customWidth="1"/>
    <col min="12294" max="12544" width="9.140625" style="113"/>
    <col min="12545" max="12545" width="8.140625" style="113" customWidth="1"/>
    <col min="12546" max="12546" width="41" style="113" customWidth="1"/>
    <col min="12547" max="12549" width="32.85546875" style="113" customWidth="1"/>
    <col min="12550" max="12800" width="9.140625" style="113"/>
    <col min="12801" max="12801" width="8.140625" style="113" customWidth="1"/>
    <col min="12802" max="12802" width="41" style="113" customWidth="1"/>
    <col min="12803" max="12805" width="32.85546875" style="113" customWidth="1"/>
    <col min="12806" max="13056" width="9.140625" style="113"/>
    <col min="13057" max="13057" width="8.140625" style="113" customWidth="1"/>
    <col min="13058" max="13058" width="41" style="113" customWidth="1"/>
    <col min="13059" max="13061" width="32.85546875" style="113" customWidth="1"/>
    <col min="13062" max="13312" width="9.140625" style="113"/>
    <col min="13313" max="13313" width="8.140625" style="113" customWidth="1"/>
    <col min="13314" max="13314" width="41" style="113" customWidth="1"/>
    <col min="13315" max="13317" width="32.85546875" style="113" customWidth="1"/>
    <col min="13318" max="13568" width="9.140625" style="113"/>
    <col min="13569" max="13569" width="8.140625" style="113" customWidth="1"/>
    <col min="13570" max="13570" width="41" style="113" customWidth="1"/>
    <col min="13571" max="13573" width="32.85546875" style="113" customWidth="1"/>
    <col min="13574" max="13824" width="9.140625" style="113"/>
    <col min="13825" max="13825" width="8.140625" style="113" customWidth="1"/>
    <col min="13826" max="13826" width="41" style="113" customWidth="1"/>
    <col min="13827" max="13829" width="32.85546875" style="113" customWidth="1"/>
    <col min="13830" max="14080" width="9.140625" style="113"/>
    <col min="14081" max="14081" width="8.140625" style="113" customWidth="1"/>
    <col min="14082" max="14082" width="41" style="113" customWidth="1"/>
    <col min="14083" max="14085" width="32.85546875" style="113" customWidth="1"/>
    <col min="14086" max="14336" width="9.140625" style="113"/>
    <col min="14337" max="14337" width="8.140625" style="113" customWidth="1"/>
    <col min="14338" max="14338" width="41" style="113" customWidth="1"/>
    <col min="14339" max="14341" width="32.85546875" style="113" customWidth="1"/>
    <col min="14342" max="14592" width="9.140625" style="113"/>
    <col min="14593" max="14593" width="8.140625" style="113" customWidth="1"/>
    <col min="14594" max="14594" width="41" style="113" customWidth="1"/>
    <col min="14595" max="14597" width="32.85546875" style="113" customWidth="1"/>
    <col min="14598" max="14848" width="9.140625" style="113"/>
    <col min="14849" max="14849" width="8.140625" style="113" customWidth="1"/>
    <col min="14850" max="14850" width="41" style="113" customWidth="1"/>
    <col min="14851" max="14853" width="32.85546875" style="113" customWidth="1"/>
    <col min="14854" max="15104" width="9.140625" style="113"/>
    <col min="15105" max="15105" width="8.140625" style="113" customWidth="1"/>
    <col min="15106" max="15106" width="41" style="113" customWidth="1"/>
    <col min="15107" max="15109" width="32.85546875" style="113" customWidth="1"/>
    <col min="15110" max="15360" width="9.140625" style="113"/>
    <col min="15361" max="15361" width="8.140625" style="113" customWidth="1"/>
    <col min="15362" max="15362" width="41" style="113" customWidth="1"/>
    <col min="15363" max="15365" width="32.85546875" style="113" customWidth="1"/>
    <col min="15366" max="15616" width="9.140625" style="113"/>
    <col min="15617" max="15617" width="8.140625" style="113" customWidth="1"/>
    <col min="15618" max="15618" width="41" style="113" customWidth="1"/>
    <col min="15619" max="15621" width="32.85546875" style="113" customWidth="1"/>
    <col min="15622" max="15872" width="9.140625" style="113"/>
    <col min="15873" max="15873" width="8.140625" style="113" customWidth="1"/>
    <col min="15874" max="15874" width="41" style="113" customWidth="1"/>
    <col min="15875" max="15877" width="32.85546875" style="113" customWidth="1"/>
    <col min="15878" max="16128" width="9.140625" style="113"/>
    <col min="16129" max="16129" width="8.140625" style="113" customWidth="1"/>
    <col min="16130" max="16130" width="41" style="113" customWidth="1"/>
    <col min="16131" max="16133" width="32.85546875" style="113" customWidth="1"/>
    <col min="16134" max="16384" width="9.140625" style="113"/>
  </cols>
  <sheetData>
    <row r="1" spans="1:5" ht="26.25" customHeight="1" x14ac:dyDescent="0.2">
      <c r="A1" s="869" t="s">
        <v>107</v>
      </c>
      <c r="B1" s="870"/>
      <c r="C1" s="870"/>
      <c r="D1" s="870"/>
      <c r="E1" s="870"/>
    </row>
    <row r="2" spans="1:5" ht="15" x14ac:dyDescent="0.2">
      <c r="A2" s="576" t="s">
        <v>641</v>
      </c>
      <c r="B2" s="577" t="s">
        <v>2</v>
      </c>
      <c r="C2" s="577" t="s">
        <v>108</v>
      </c>
      <c r="D2" s="577" t="s">
        <v>109</v>
      </c>
      <c r="E2" s="577" t="s">
        <v>110</v>
      </c>
    </row>
    <row r="3" spans="1:5" ht="15" x14ac:dyDescent="0.2">
      <c r="A3" s="577">
        <v>1</v>
      </c>
      <c r="B3" s="577">
        <v>2</v>
      </c>
      <c r="C3" s="577">
        <v>3</v>
      </c>
      <c r="D3" s="577">
        <v>4</v>
      </c>
      <c r="E3" s="577">
        <v>5</v>
      </c>
    </row>
    <row r="4" spans="1:5" x14ac:dyDescent="0.2">
      <c r="A4" s="578" t="s">
        <v>111</v>
      </c>
      <c r="B4" s="579" t="s">
        <v>112</v>
      </c>
      <c r="C4" s="580">
        <v>16195009</v>
      </c>
      <c r="D4" s="580">
        <v>0</v>
      </c>
      <c r="E4" s="580">
        <v>17347082</v>
      </c>
    </row>
    <row r="5" spans="1:5" x14ac:dyDescent="0.2">
      <c r="A5" s="578" t="s">
        <v>113</v>
      </c>
      <c r="B5" s="579" t="s">
        <v>114</v>
      </c>
      <c r="C5" s="580">
        <v>16015330</v>
      </c>
      <c r="D5" s="580">
        <v>0</v>
      </c>
      <c r="E5" s="580">
        <v>7801435</v>
      </c>
    </row>
    <row r="6" spans="1:5" x14ac:dyDescent="0.2">
      <c r="A6" s="578" t="s">
        <v>115</v>
      </c>
      <c r="B6" s="579" t="s">
        <v>116</v>
      </c>
      <c r="C6" s="580">
        <v>0</v>
      </c>
      <c r="D6" s="580">
        <v>0</v>
      </c>
      <c r="E6" s="580">
        <v>0</v>
      </c>
    </row>
    <row r="7" spans="1:5" x14ac:dyDescent="0.2">
      <c r="A7" s="581" t="s">
        <v>117</v>
      </c>
      <c r="B7" s="582" t="s">
        <v>118</v>
      </c>
      <c r="C7" s="583">
        <v>32210339</v>
      </c>
      <c r="D7" s="583">
        <v>0</v>
      </c>
      <c r="E7" s="583">
        <v>25148517</v>
      </c>
    </row>
    <row r="8" spans="1:5" x14ac:dyDescent="0.2">
      <c r="A8" s="578" t="s">
        <v>119</v>
      </c>
      <c r="B8" s="579" t="s">
        <v>120</v>
      </c>
      <c r="C8" s="580">
        <v>20150856613</v>
      </c>
      <c r="D8" s="580">
        <v>0</v>
      </c>
      <c r="E8" s="580">
        <v>20172944163</v>
      </c>
    </row>
    <row r="9" spans="1:5" x14ac:dyDescent="0.2">
      <c r="A9" s="578" t="s">
        <v>121</v>
      </c>
      <c r="B9" s="579" t="s">
        <v>122</v>
      </c>
      <c r="C9" s="580">
        <v>170810303</v>
      </c>
      <c r="D9" s="580">
        <v>0</v>
      </c>
      <c r="E9" s="580">
        <v>307530578</v>
      </c>
    </row>
    <row r="10" spans="1:5" x14ac:dyDescent="0.2">
      <c r="A10" s="578" t="s">
        <v>123</v>
      </c>
      <c r="B10" s="579" t="s">
        <v>124</v>
      </c>
      <c r="C10" s="580">
        <v>0</v>
      </c>
      <c r="D10" s="580">
        <v>0</v>
      </c>
      <c r="E10" s="580">
        <v>0</v>
      </c>
    </row>
    <row r="11" spans="1:5" x14ac:dyDescent="0.2">
      <c r="A11" s="578" t="s">
        <v>125</v>
      </c>
      <c r="B11" s="579" t="s">
        <v>126</v>
      </c>
      <c r="C11" s="580">
        <v>72627904</v>
      </c>
      <c r="D11" s="580">
        <v>0</v>
      </c>
      <c r="E11" s="580">
        <v>107242190</v>
      </c>
    </row>
    <row r="12" spans="1:5" x14ac:dyDescent="0.2">
      <c r="A12" s="578" t="s">
        <v>127</v>
      </c>
      <c r="B12" s="579" t="s">
        <v>128</v>
      </c>
      <c r="C12" s="580">
        <v>584522737</v>
      </c>
      <c r="D12" s="580">
        <v>0</v>
      </c>
      <c r="E12" s="580">
        <v>584522737</v>
      </c>
    </row>
    <row r="13" spans="1:5" x14ac:dyDescent="0.2">
      <c r="A13" s="581" t="s">
        <v>129</v>
      </c>
      <c r="B13" s="582" t="s">
        <v>130</v>
      </c>
      <c r="C13" s="583">
        <v>20978817557</v>
      </c>
      <c r="D13" s="583">
        <v>0</v>
      </c>
      <c r="E13" s="583">
        <v>21172239668</v>
      </c>
    </row>
    <row r="14" spans="1:5" x14ac:dyDescent="0.2">
      <c r="A14" s="578" t="s">
        <v>131</v>
      </c>
      <c r="B14" s="579" t="s">
        <v>132</v>
      </c>
      <c r="C14" s="580">
        <v>299913200</v>
      </c>
      <c r="D14" s="580">
        <v>0</v>
      </c>
      <c r="E14" s="580">
        <v>274733200</v>
      </c>
    </row>
    <row r="15" spans="1:5" x14ac:dyDescent="0.2">
      <c r="A15" s="578" t="s">
        <v>133</v>
      </c>
      <c r="B15" s="579" t="s">
        <v>134</v>
      </c>
      <c r="C15" s="580">
        <v>0</v>
      </c>
      <c r="D15" s="580">
        <v>0</v>
      </c>
      <c r="E15" s="580">
        <v>0</v>
      </c>
    </row>
    <row r="16" spans="1:5" x14ac:dyDescent="0.2">
      <c r="A16" s="578" t="s">
        <v>135</v>
      </c>
      <c r="B16" s="579" t="s">
        <v>136</v>
      </c>
      <c r="C16" s="580">
        <v>299913200</v>
      </c>
      <c r="D16" s="580">
        <v>0</v>
      </c>
      <c r="E16" s="580">
        <v>271733200</v>
      </c>
    </row>
    <row r="17" spans="1:5" x14ac:dyDescent="0.2">
      <c r="A17" s="578" t="s">
        <v>137</v>
      </c>
      <c r="B17" s="579" t="s">
        <v>138</v>
      </c>
      <c r="C17" s="580">
        <v>0</v>
      </c>
      <c r="D17" s="580">
        <v>0</v>
      </c>
      <c r="E17" s="580">
        <v>0</v>
      </c>
    </row>
    <row r="18" spans="1:5" x14ac:dyDescent="0.2">
      <c r="A18" s="578" t="s">
        <v>139</v>
      </c>
      <c r="B18" s="579" t="s">
        <v>140</v>
      </c>
      <c r="C18" s="580">
        <v>0</v>
      </c>
      <c r="D18" s="580">
        <v>0</v>
      </c>
      <c r="E18" s="580">
        <v>0</v>
      </c>
    </row>
    <row r="19" spans="1:5" x14ac:dyDescent="0.2">
      <c r="A19" s="578" t="s">
        <v>141</v>
      </c>
      <c r="B19" s="579" t="s">
        <v>142</v>
      </c>
      <c r="C19" s="580">
        <v>0</v>
      </c>
      <c r="D19" s="580">
        <v>0</v>
      </c>
      <c r="E19" s="580">
        <v>3000000</v>
      </c>
    </row>
    <row r="20" spans="1:5" x14ac:dyDescent="0.2">
      <c r="A20" s="578" t="s">
        <v>143</v>
      </c>
      <c r="B20" s="579" t="s">
        <v>144</v>
      </c>
      <c r="C20" s="580">
        <v>0</v>
      </c>
      <c r="D20" s="580">
        <v>0</v>
      </c>
      <c r="E20" s="580">
        <v>0</v>
      </c>
    </row>
    <row r="21" spans="1:5" x14ac:dyDescent="0.2">
      <c r="A21" s="578" t="s">
        <v>145</v>
      </c>
      <c r="B21" s="579" t="s">
        <v>146</v>
      </c>
      <c r="C21" s="580">
        <v>0</v>
      </c>
      <c r="D21" s="580">
        <v>0</v>
      </c>
      <c r="E21" s="580">
        <v>0</v>
      </c>
    </row>
    <row r="22" spans="1:5" x14ac:dyDescent="0.2">
      <c r="A22" s="578" t="s">
        <v>147</v>
      </c>
      <c r="B22" s="579" t="s">
        <v>148</v>
      </c>
      <c r="C22" s="580">
        <v>0</v>
      </c>
      <c r="D22" s="580">
        <v>0</v>
      </c>
      <c r="E22" s="580">
        <v>0</v>
      </c>
    </row>
    <row r="23" spans="1:5" x14ac:dyDescent="0.2">
      <c r="A23" s="578" t="s">
        <v>149</v>
      </c>
      <c r="B23" s="579" t="s">
        <v>150</v>
      </c>
      <c r="C23" s="580">
        <v>0</v>
      </c>
      <c r="D23" s="580">
        <v>0</v>
      </c>
      <c r="E23" s="580">
        <v>0</v>
      </c>
    </row>
    <row r="24" spans="1:5" x14ac:dyDescent="0.2">
      <c r="A24" s="581" t="s">
        <v>151</v>
      </c>
      <c r="B24" s="582" t="s">
        <v>152</v>
      </c>
      <c r="C24" s="583">
        <v>299913200</v>
      </c>
      <c r="D24" s="583">
        <v>0</v>
      </c>
      <c r="E24" s="583">
        <v>274733200</v>
      </c>
    </row>
    <row r="25" spans="1:5" x14ac:dyDescent="0.2">
      <c r="A25" s="578" t="s">
        <v>153</v>
      </c>
      <c r="B25" s="579" t="s">
        <v>154</v>
      </c>
      <c r="C25" s="580">
        <v>371446013</v>
      </c>
      <c r="D25" s="580">
        <v>0</v>
      </c>
      <c r="E25" s="580">
        <v>405703340</v>
      </c>
    </row>
    <row r="26" spans="1:5" x14ac:dyDescent="0.2">
      <c r="A26" s="578" t="s">
        <v>155</v>
      </c>
      <c r="B26" s="579" t="s">
        <v>156</v>
      </c>
      <c r="C26" s="580">
        <v>0</v>
      </c>
      <c r="D26" s="580">
        <v>0</v>
      </c>
      <c r="E26" s="580">
        <v>0</v>
      </c>
    </row>
    <row r="27" spans="1:5" x14ac:dyDescent="0.2">
      <c r="A27" s="578" t="s">
        <v>157</v>
      </c>
      <c r="B27" s="579" t="s">
        <v>158</v>
      </c>
      <c r="C27" s="580">
        <v>371446013</v>
      </c>
      <c r="D27" s="580">
        <v>0</v>
      </c>
      <c r="E27" s="580">
        <v>405703340</v>
      </c>
    </row>
    <row r="28" spans="1:5" x14ac:dyDescent="0.2">
      <c r="A28" s="578" t="s">
        <v>159</v>
      </c>
      <c r="B28" s="579" t="s">
        <v>160</v>
      </c>
      <c r="C28" s="580">
        <v>0</v>
      </c>
      <c r="D28" s="580">
        <v>0</v>
      </c>
      <c r="E28" s="580">
        <v>0</v>
      </c>
    </row>
    <row r="29" spans="1:5" x14ac:dyDescent="0.2">
      <c r="A29" s="578" t="s">
        <v>161</v>
      </c>
      <c r="B29" s="579" t="s">
        <v>162</v>
      </c>
      <c r="C29" s="580">
        <v>0</v>
      </c>
      <c r="D29" s="580">
        <v>0</v>
      </c>
      <c r="E29" s="580">
        <v>0</v>
      </c>
    </row>
    <row r="30" spans="1:5" x14ac:dyDescent="0.2">
      <c r="A30" s="581" t="s">
        <v>163</v>
      </c>
      <c r="B30" s="582" t="s">
        <v>164</v>
      </c>
      <c r="C30" s="583">
        <v>371446013</v>
      </c>
      <c r="D30" s="583">
        <v>0</v>
      </c>
      <c r="E30" s="583">
        <v>405703340</v>
      </c>
    </row>
    <row r="31" spans="1:5" ht="25.5" x14ac:dyDescent="0.2">
      <c r="A31" s="581" t="s">
        <v>165</v>
      </c>
      <c r="B31" s="582" t="s">
        <v>166</v>
      </c>
      <c r="C31" s="583">
        <v>21682387109</v>
      </c>
      <c r="D31" s="583">
        <v>0</v>
      </c>
      <c r="E31" s="583">
        <v>21877824725</v>
      </c>
    </row>
    <row r="32" spans="1:5" x14ac:dyDescent="0.2">
      <c r="A32" s="578" t="s">
        <v>167</v>
      </c>
      <c r="B32" s="579" t="s">
        <v>168</v>
      </c>
      <c r="C32" s="580">
        <v>3451145</v>
      </c>
      <c r="D32" s="580">
        <v>0</v>
      </c>
      <c r="E32" s="580">
        <v>2584354</v>
      </c>
    </row>
    <row r="33" spans="1:5" x14ac:dyDescent="0.2">
      <c r="A33" s="578" t="s">
        <v>169</v>
      </c>
      <c r="B33" s="579" t="s">
        <v>170</v>
      </c>
      <c r="C33" s="580">
        <v>0</v>
      </c>
      <c r="D33" s="580">
        <v>0</v>
      </c>
      <c r="E33" s="580">
        <v>0</v>
      </c>
    </row>
    <row r="34" spans="1:5" x14ac:dyDescent="0.2">
      <c r="A34" s="578" t="s">
        <v>171</v>
      </c>
      <c r="B34" s="579" t="s">
        <v>172</v>
      </c>
      <c r="C34" s="580">
        <v>0</v>
      </c>
      <c r="D34" s="580">
        <v>0</v>
      </c>
      <c r="E34" s="580">
        <v>0</v>
      </c>
    </row>
    <row r="35" spans="1:5" x14ac:dyDescent="0.2">
      <c r="A35" s="578" t="s">
        <v>173</v>
      </c>
      <c r="B35" s="579" t="s">
        <v>174</v>
      </c>
      <c r="C35" s="580">
        <v>0</v>
      </c>
      <c r="D35" s="580">
        <v>0</v>
      </c>
      <c r="E35" s="580">
        <v>0</v>
      </c>
    </row>
    <row r="36" spans="1:5" x14ac:dyDescent="0.2">
      <c r="A36" s="578" t="s">
        <v>175</v>
      </c>
      <c r="B36" s="579" t="s">
        <v>176</v>
      </c>
      <c r="C36" s="580">
        <v>0</v>
      </c>
      <c r="D36" s="580">
        <v>0</v>
      </c>
      <c r="E36" s="580">
        <v>0</v>
      </c>
    </row>
    <row r="37" spans="1:5" x14ac:dyDescent="0.2">
      <c r="A37" s="581" t="s">
        <v>177</v>
      </c>
      <c r="B37" s="582" t="s">
        <v>178</v>
      </c>
      <c r="C37" s="583">
        <v>3451145</v>
      </c>
      <c r="D37" s="583">
        <v>0</v>
      </c>
      <c r="E37" s="583">
        <v>2584354</v>
      </c>
    </row>
    <row r="38" spans="1:5" x14ac:dyDescent="0.2">
      <c r="A38" s="578" t="s">
        <v>179</v>
      </c>
      <c r="B38" s="579" t="s">
        <v>180</v>
      </c>
      <c r="C38" s="580">
        <v>0</v>
      </c>
      <c r="D38" s="580">
        <v>0</v>
      </c>
      <c r="E38" s="580">
        <v>0</v>
      </c>
    </row>
    <row r="39" spans="1:5" x14ac:dyDescent="0.2">
      <c r="A39" s="578" t="s">
        <v>181</v>
      </c>
      <c r="B39" s="579" t="s">
        <v>182</v>
      </c>
      <c r="C39" s="580">
        <v>0</v>
      </c>
      <c r="D39" s="580">
        <v>0</v>
      </c>
      <c r="E39" s="580">
        <v>0</v>
      </c>
    </row>
    <row r="40" spans="1:5" x14ac:dyDescent="0.2">
      <c r="A40" s="578" t="s">
        <v>183</v>
      </c>
      <c r="B40" s="579" t="s">
        <v>184</v>
      </c>
      <c r="C40" s="580">
        <v>0</v>
      </c>
      <c r="D40" s="580">
        <v>0</v>
      </c>
      <c r="E40" s="580">
        <v>0</v>
      </c>
    </row>
    <row r="41" spans="1:5" x14ac:dyDescent="0.2">
      <c r="A41" s="578" t="s">
        <v>185</v>
      </c>
      <c r="B41" s="579" t="s">
        <v>186</v>
      </c>
      <c r="C41" s="580">
        <v>0</v>
      </c>
      <c r="D41" s="580">
        <v>0</v>
      </c>
      <c r="E41" s="580">
        <v>0</v>
      </c>
    </row>
    <row r="42" spans="1:5" x14ac:dyDescent="0.2">
      <c r="A42" s="578" t="s">
        <v>187</v>
      </c>
      <c r="B42" s="579" t="s">
        <v>188</v>
      </c>
      <c r="C42" s="580">
        <v>0</v>
      </c>
      <c r="D42" s="580">
        <v>0</v>
      </c>
      <c r="E42" s="580">
        <v>0</v>
      </c>
    </row>
    <row r="43" spans="1:5" x14ac:dyDescent="0.2">
      <c r="A43" s="578" t="s">
        <v>189</v>
      </c>
      <c r="B43" s="579" t="s">
        <v>190</v>
      </c>
      <c r="C43" s="580">
        <v>0</v>
      </c>
      <c r="D43" s="580">
        <v>0</v>
      </c>
      <c r="E43" s="580">
        <v>0</v>
      </c>
    </row>
    <row r="44" spans="1:5" x14ac:dyDescent="0.2">
      <c r="A44" s="578" t="s">
        <v>191</v>
      </c>
      <c r="B44" s="579" t="s">
        <v>192</v>
      </c>
      <c r="C44" s="580">
        <v>0</v>
      </c>
      <c r="D44" s="580">
        <v>0</v>
      </c>
      <c r="E44" s="580">
        <v>0</v>
      </c>
    </row>
    <row r="45" spans="1:5" x14ac:dyDescent="0.2">
      <c r="A45" s="581" t="s">
        <v>193</v>
      </c>
      <c r="B45" s="582" t="s">
        <v>194</v>
      </c>
      <c r="C45" s="583">
        <v>0</v>
      </c>
      <c r="D45" s="583">
        <v>0</v>
      </c>
      <c r="E45" s="583">
        <v>0</v>
      </c>
    </row>
    <row r="46" spans="1:5" x14ac:dyDescent="0.2">
      <c r="A46" s="581" t="s">
        <v>195</v>
      </c>
      <c r="B46" s="582" t="s">
        <v>196</v>
      </c>
      <c r="C46" s="583">
        <v>3451145</v>
      </c>
      <c r="D46" s="583">
        <v>0</v>
      </c>
      <c r="E46" s="583">
        <v>2584354</v>
      </c>
    </row>
    <row r="47" spans="1:5" x14ac:dyDescent="0.2">
      <c r="A47" s="578" t="s">
        <v>197</v>
      </c>
      <c r="B47" s="579" t="s">
        <v>198</v>
      </c>
      <c r="C47" s="580">
        <v>0</v>
      </c>
      <c r="D47" s="580">
        <v>0</v>
      </c>
      <c r="E47" s="580">
        <v>0</v>
      </c>
    </row>
    <row r="48" spans="1:5" x14ac:dyDescent="0.2">
      <c r="A48" s="578" t="s">
        <v>199</v>
      </c>
      <c r="B48" s="579" t="s">
        <v>200</v>
      </c>
      <c r="C48" s="580">
        <v>0</v>
      </c>
      <c r="D48" s="580">
        <v>0</v>
      </c>
      <c r="E48" s="580">
        <v>0</v>
      </c>
    </row>
    <row r="49" spans="1:5" x14ac:dyDescent="0.2">
      <c r="A49" s="581" t="s">
        <v>201</v>
      </c>
      <c r="B49" s="582" t="s">
        <v>202</v>
      </c>
      <c r="C49" s="583">
        <v>0</v>
      </c>
      <c r="D49" s="583">
        <v>0</v>
      </c>
      <c r="E49" s="583">
        <v>0</v>
      </c>
    </row>
    <row r="50" spans="1:5" x14ac:dyDescent="0.2">
      <c r="A50" s="578" t="s">
        <v>203</v>
      </c>
      <c r="B50" s="579" t="s">
        <v>204</v>
      </c>
      <c r="C50" s="580">
        <v>753325</v>
      </c>
      <c r="D50" s="580">
        <v>0</v>
      </c>
      <c r="E50" s="580">
        <v>1003516</v>
      </c>
    </row>
    <row r="51" spans="1:5" x14ac:dyDescent="0.2">
      <c r="A51" s="578" t="s">
        <v>205</v>
      </c>
      <c r="B51" s="579" t="s">
        <v>206</v>
      </c>
      <c r="C51" s="580">
        <v>0</v>
      </c>
      <c r="D51" s="580">
        <v>0</v>
      </c>
      <c r="E51" s="580">
        <v>0</v>
      </c>
    </row>
    <row r="52" spans="1:5" x14ac:dyDescent="0.2">
      <c r="A52" s="578" t="s">
        <v>207</v>
      </c>
      <c r="B52" s="579" t="s">
        <v>208</v>
      </c>
      <c r="C52" s="580">
        <v>0</v>
      </c>
      <c r="D52" s="580">
        <v>0</v>
      </c>
      <c r="E52" s="580">
        <v>0</v>
      </c>
    </row>
    <row r="53" spans="1:5" x14ac:dyDescent="0.2">
      <c r="A53" s="581" t="s">
        <v>209</v>
      </c>
      <c r="B53" s="582" t="s">
        <v>210</v>
      </c>
      <c r="C53" s="583">
        <v>753325</v>
      </c>
      <c r="D53" s="583">
        <v>0</v>
      </c>
      <c r="E53" s="583">
        <v>1003516</v>
      </c>
    </row>
    <row r="54" spans="1:5" x14ac:dyDescent="0.2">
      <c r="A54" s="578" t="s">
        <v>211</v>
      </c>
      <c r="B54" s="579" t="s">
        <v>212</v>
      </c>
      <c r="C54" s="580">
        <v>597508628</v>
      </c>
      <c r="D54" s="580">
        <v>0</v>
      </c>
      <c r="E54" s="580">
        <v>978219450</v>
      </c>
    </row>
    <row r="55" spans="1:5" x14ac:dyDescent="0.2">
      <c r="A55" s="578" t="s">
        <v>213</v>
      </c>
      <c r="B55" s="579" t="s">
        <v>214</v>
      </c>
      <c r="C55" s="580">
        <v>0</v>
      </c>
      <c r="D55" s="580">
        <v>0</v>
      </c>
      <c r="E55" s="580">
        <v>0</v>
      </c>
    </row>
    <row r="56" spans="1:5" x14ac:dyDescent="0.2">
      <c r="A56" s="581" t="s">
        <v>215</v>
      </c>
      <c r="B56" s="582" t="s">
        <v>216</v>
      </c>
      <c r="C56" s="583">
        <v>597508628</v>
      </c>
      <c r="D56" s="583">
        <v>0</v>
      </c>
      <c r="E56" s="583">
        <v>978219450</v>
      </c>
    </row>
    <row r="57" spans="1:5" x14ac:dyDescent="0.2">
      <c r="A57" s="578" t="s">
        <v>217</v>
      </c>
      <c r="B57" s="579" t="s">
        <v>218</v>
      </c>
      <c r="C57" s="580">
        <v>0</v>
      </c>
      <c r="D57" s="580">
        <v>0</v>
      </c>
      <c r="E57" s="580">
        <v>0</v>
      </c>
    </row>
    <row r="58" spans="1:5" x14ac:dyDescent="0.2">
      <c r="A58" s="578" t="s">
        <v>219</v>
      </c>
      <c r="B58" s="579" t="s">
        <v>220</v>
      </c>
      <c r="C58" s="580">
        <v>0</v>
      </c>
      <c r="D58" s="580">
        <v>0</v>
      </c>
      <c r="E58" s="580">
        <v>0</v>
      </c>
    </row>
    <row r="59" spans="1:5" x14ac:dyDescent="0.2">
      <c r="A59" s="581" t="s">
        <v>221</v>
      </c>
      <c r="B59" s="582" t="s">
        <v>222</v>
      </c>
      <c r="C59" s="583">
        <v>0</v>
      </c>
      <c r="D59" s="583">
        <v>0</v>
      </c>
      <c r="E59" s="583">
        <v>0</v>
      </c>
    </row>
    <row r="60" spans="1:5" x14ac:dyDescent="0.2">
      <c r="A60" s="581" t="s">
        <v>223</v>
      </c>
      <c r="B60" s="582" t="s">
        <v>224</v>
      </c>
      <c r="C60" s="583">
        <v>598261953</v>
      </c>
      <c r="D60" s="583">
        <v>0</v>
      </c>
      <c r="E60" s="583">
        <v>979222966</v>
      </c>
    </row>
    <row r="61" spans="1:5" ht="25.5" x14ac:dyDescent="0.2">
      <c r="A61" s="578" t="s">
        <v>225</v>
      </c>
      <c r="B61" s="579" t="s">
        <v>226</v>
      </c>
      <c r="C61" s="580">
        <v>0</v>
      </c>
      <c r="D61" s="580">
        <v>0</v>
      </c>
      <c r="E61" s="580">
        <v>0</v>
      </c>
    </row>
    <row r="62" spans="1:5" ht="25.5" x14ac:dyDescent="0.2">
      <c r="A62" s="578" t="s">
        <v>227</v>
      </c>
      <c r="B62" s="579" t="s">
        <v>228</v>
      </c>
      <c r="C62" s="580">
        <v>0</v>
      </c>
      <c r="D62" s="580">
        <v>0</v>
      </c>
      <c r="E62" s="580">
        <v>0</v>
      </c>
    </row>
    <row r="63" spans="1:5" ht="25.5" x14ac:dyDescent="0.2">
      <c r="A63" s="578" t="s">
        <v>229</v>
      </c>
      <c r="B63" s="579" t="s">
        <v>230</v>
      </c>
      <c r="C63" s="580">
        <v>0</v>
      </c>
      <c r="D63" s="580">
        <v>0</v>
      </c>
      <c r="E63" s="580">
        <v>0</v>
      </c>
    </row>
    <row r="64" spans="1:5" ht="25.5" x14ac:dyDescent="0.2">
      <c r="A64" s="578" t="s">
        <v>231</v>
      </c>
      <c r="B64" s="579" t="s">
        <v>232</v>
      </c>
      <c r="C64" s="580">
        <v>0</v>
      </c>
      <c r="D64" s="580">
        <v>0</v>
      </c>
      <c r="E64" s="580">
        <v>0</v>
      </c>
    </row>
    <row r="65" spans="1:5" ht="25.5" x14ac:dyDescent="0.2">
      <c r="A65" s="578" t="s">
        <v>233</v>
      </c>
      <c r="B65" s="579" t="s">
        <v>234</v>
      </c>
      <c r="C65" s="580">
        <v>104036384</v>
      </c>
      <c r="D65" s="580">
        <v>0</v>
      </c>
      <c r="E65" s="580">
        <v>70358155</v>
      </c>
    </row>
    <row r="66" spans="1:5" x14ac:dyDescent="0.2">
      <c r="A66" s="578" t="s">
        <v>235</v>
      </c>
      <c r="B66" s="579" t="s">
        <v>236</v>
      </c>
      <c r="C66" s="580">
        <v>0</v>
      </c>
      <c r="D66" s="580">
        <v>0</v>
      </c>
      <c r="E66" s="580">
        <v>0</v>
      </c>
    </row>
    <row r="67" spans="1:5" ht="25.5" x14ac:dyDescent="0.2">
      <c r="A67" s="578" t="s">
        <v>237</v>
      </c>
      <c r="B67" s="579" t="s">
        <v>238</v>
      </c>
      <c r="C67" s="580">
        <v>0</v>
      </c>
      <c r="D67" s="580">
        <v>0</v>
      </c>
      <c r="E67" s="580">
        <v>0</v>
      </c>
    </row>
    <row r="68" spans="1:5" ht="25.5" x14ac:dyDescent="0.2">
      <c r="A68" s="578" t="s">
        <v>239</v>
      </c>
      <c r="B68" s="579" t="s">
        <v>240</v>
      </c>
      <c r="C68" s="580">
        <v>0</v>
      </c>
      <c r="D68" s="580">
        <v>0</v>
      </c>
      <c r="E68" s="580">
        <v>0</v>
      </c>
    </row>
    <row r="69" spans="1:5" x14ac:dyDescent="0.2">
      <c r="A69" s="578" t="s">
        <v>241</v>
      </c>
      <c r="B69" s="579" t="s">
        <v>242</v>
      </c>
      <c r="C69" s="580">
        <v>28200734</v>
      </c>
      <c r="D69" s="580">
        <v>0</v>
      </c>
      <c r="E69" s="580">
        <v>17005789</v>
      </c>
    </row>
    <row r="70" spans="1:5" ht="25.5" x14ac:dyDescent="0.2">
      <c r="A70" s="578" t="s">
        <v>243</v>
      </c>
      <c r="B70" s="579" t="s">
        <v>244</v>
      </c>
      <c r="C70" s="580">
        <v>46453021</v>
      </c>
      <c r="D70" s="580">
        <v>0</v>
      </c>
      <c r="E70" s="580">
        <v>41184863</v>
      </c>
    </row>
    <row r="71" spans="1:5" ht="25.5" x14ac:dyDescent="0.2">
      <c r="A71" s="578" t="s">
        <v>245</v>
      </c>
      <c r="B71" s="579" t="s">
        <v>246</v>
      </c>
      <c r="C71" s="580">
        <v>29382629</v>
      </c>
      <c r="D71" s="580">
        <v>0</v>
      </c>
      <c r="E71" s="580">
        <v>12167503</v>
      </c>
    </row>
    <row r="72" spans="1:5" ht="25.5" x14ac:dyDescent="0.2">
      <c r="A72" s="578" t="s">
        <v>247</v>
      </c>
      <c r="B72" s="579" t="s">
        <v>248</v>
      </c>
      <c r="C72" s="580">
        <v>43726510</v>
      </c>
      <c r="D72" s="580">
        <v>0</v>
      </c>
      <c r="E72" s="580">
        <v>20410340</v>
      </c>
    </row>
    <row r="73" spans="1:5" ht="25.5" x14ac:dyDescent="0.2">
      <c r="A73" s="578" t="s">
        <v>249</v>
      </c>
      <c r="B73" s="579" t="s">
        <v>250</v>
      </c>
      <c r="C73" s="580">
        <v>618378</v>
      </c>
      <c r="D73" s="580">
        <v>0</v>
      </c>
      <c r="E73" s="580">
        <v>208938</v>
      </c>
    </row>
    <row r="74" spans="1:5" x14ac:dyDescent="0.2">
      <c r="A74" s="578" t="s">
        <v>251</v>
      </c>
      <c r="B74" s="579" t="s">
        <v>252</v>
      </c>
      <c r="C74" s="580">
        <v>23281631</v>
      </c>
      <c r="D74" s="580">
        <v>0</v>
      </c>
      <c r="E74" s="580">
        <v>885667</v>
      </c>
    </row>
    <row r="75" spans="1:5" x14ac:dyDescent="0.2">
      <c r="A75" s="578" t="s">
        <v>253</v>
      </c>
      <c r="B75" s="579" t="s">
        <v>254</v>
      </c>
      <c r="C75" s="580">
        <v>3908812</v>
      </c>
      <c r="D75" s="580">
        <v>0</v>
      </c>
      <c r="E75" s="580">
        <v>12350325</v>
      </c>
    </row>
    <row r="76" spans="1:5" ht="25.5" x14ac:dyDescent="0.2">
      <c r="A76" s="578" t="s">
        <v>255</v>
      </c>
      <c r="B76" s="579" t="s">
        <v>256</v>
      </c>
      <c r="C76" s="580">
        <v>11127809</v>
      </c>
      <c r="D76" s="580">
        <v>0</v>
      </c>
      <c r="E76" s="580">
        <v>5471714</v>
      </c>
    </row>
    <row r="77" spans="1:5" ht="25.5" x14ac:dyDescent="0.2">
      <c r="A77" s="578" t="s">
        <v>257</v>
      </c>
      <c r="B77" s="579" t="s">
        <v>258</v>
      </c>
      <c r="C77" s="580">
        <v>2997565</v>
      </c>
      <c r="D77" s="580">
        <v>0</v>
      </c>
      <c r="E77" s="580">
        <v>0</v>
      </c>
    </row>
    <row r="78" spans="1:5" ht="25.5" x14ac:dyDescent="0.2">
      <c r="A78" s="578" t="s">
        <v>259</v>
      </c>
      <c r="B78" s="579" t="s">
        <v>1309</v>
      </c>
      <c r="C78" s="580">
        <v>0</v>
      </c>
      <c r="D78" s="580">
        <v>0</v>
      </c>
      <c r="E78" s="580">
        <v>0</v>
      </c>
    </row>
    <row r="79" spans="1:5" ht="25.5" x14ac:dyDescent="0.2">
      <c r="A79" s="578" t="s">
        <v>260</v>
      </c>
      <c r="B79" s="579" t="s">
        <v>261</v>
      </c>
      <c r="C79" s="580">
        <v>0</v>
      </c>
      <c r="D79" s="580">
        <v>0</v>
      </c>
      <c r="E79" s="580">
        <v>0</v>
      </c>
    </row>
    <row r="80" spans="1:5" ht="25.5" x14ac:dyDescent="0.2">
      <c r="A80" s="578" t="s">
        <v>262</v>
      </c>
      <c r="B80" s="579" t="s">
        <v>263</v>
      </c>
      <c r="C80" s="580">
        <v>0</v>
      </c>
      <c r="D80" s="580">
        <v>0</v>
      </c>
      <c r="E80" s="580">
        <v>0</v>
      </c>
    </row>
    <row r="81" spans="1:5" x14ac:dyDescent="0.2">
      <c r="A81" s="578" t="s">
        <v>264</v>
      </c>
      <c r="B81" s="579" t="s">
        <v>265</v>
      </c>
      <c r="C81" s="580">
        <v>1792315</v>
      </c>
      <c r="D81" s="580">
        <v>0</v>
      </c>
      <c r="E81" s="580">
        <v>1493696</v>
      </c>
    </row>
    <row r="82" spans="1:5" ht="25.5" x14ac:dyDescent="0.2">
      <c r="A82" s="578" t="s">
        <v>266</v>
      </c>
      <c r="B82" s="579" t="s">
        <v>267</v>
      </c>
      <c r="C82" s="580">
        <v>0</v>
      </c>
      <c r="D82" s="580">
        <v>0</v>
      </c>
      <c r="E82" s="580">
        <v>0</v>
      </c>
    </row>
    <row r="83" spans="1:5" ht="25.5" x14ac:dyDescent="0.2">
      <c r="A83" s="578" t="s">
        <v>268</v>
      </c>
      <c r="B83" s="579" t="s">
        <v>269</v>
      </c>
      <c r="C83" s="580">
        <v>0</v>
      </c>
      <c r="D83" s="580">
        <v>0</v>
      </c>
      <c r="E83" s="580">
        <v>0</v>
      </c>
    </row>
    <row r="84" spans="1:5" x14ac:dyDescent="0.2">
      <c r="A84" s="578" t="s">
        <v>270</v>
      </c>
      <c r="B84" s="579" t="s">
        <v>271</v>
      </c>
      <c r="C84" s="580">
        <v>0</v>
      </c>
      <c r="D84" s="580">
        <v>0</v>
      </c>
      <c r="E84" s="580">
        <v>0</v>
      </c>
    </row>
    <row r="85" spans="1:5" ht="25.5" x14ac:dyDescent="0.2">
      <c r="A85" s="578" t="s">
        <v>272</v>
      </c>
      <c r="B85" s="579" t="s">
        <v>273</v>
      </c>
      <c r="C85" s="580">
        <v>0</v>
      </c>
      <c r="D85" s="580">
        <v>0</v>
      </c>
      <c r="E85" s="580">
        <v>0</v>
      </c>
    </row>
    <row r="86" spans="1:5" ht="25.5" x14ac:dyDescent="0.2">
      <c r="A86" s="578" t="s">
        <v>274</v>
      </c>
      <c r="B86" s="579" t="s">
        <v>275</v>
      </c>
      <c r="C86" s="580">
        <v>0</v>
      </c>
      <c r="D86" s="580">
        <v>0</v>
      </c>
      <c r="E86" s="580">
        <v>0</v>
      </c>
    </row>
    <row r="87" spans="1:5" ht="25.5" x14ac:dyDescent="0.2">
      <c r="A87" s="578" t="s">
        <v>276</v>
      </c>
      <c r="B87" s="579" t="s">
        <v>277</v>
      </c>
      <c r="C87" s="580">
        <v>0</v>
      </c>
      <c r="D87" s="580">
        <v>0</v>
      </c>
      <c r="E87" s="580">
        <v>0</v>
      </c>
    </row>
    <row r="88" spans="1:5" ht="25.5" x14ac:dyDescent="0.2">
      <c r="A88" s="578" t="s">
        <v>278</v>
      </c>
      <c r="B88" s="579" t="s">
        <v>279</v>
      </c>
      <c r="C88" s="580">
        <v>0</v>
      </c>
      <c r="D88" s="580">
        <v>0</v>
      </c>
      <c r="E88" s="580">
        <v>45000000</v>
      </c>
    </row>
    <row r="89" spans="1:5" ht="25.5" x14ac:dyDescent="0.2">
      <c r="A89" s="578" t="s">
        <v>280</v>
      </c>
      <c r="B89" s="579" t="s">
        <v>281</v>
      </c>
      <c r="C89" s="580">
        <v>0</v>
      </c>
      <c r="D89" s="580">
        <v>0</v>
      </c>
      <c r="E89" s="580">
        <v>0</v>
      </c>
    </row>
    <row r="90" spans="1:5" ht="38.25" x14ac:dyDescent="0.2">
      <c r="A90" s="578" t="s">
        <v>282</v>
      </c>
      <c r="B90" s="579" t="s">
        <v>283</v>
      </c>
      <c r="C90" s="580">
        <v>0</v>
      </c>
      <c r="D90" s="580">
        <v>0</v>
      </c>
      <c r="E90" s="580">
        <v>0</v>
      </c>
    </row>
    <row r="91" spans="1:5" ht="25.5" x14ac:dyDescent="0.2">
      <c r="A91" s="578" t="s">
        <v>284</v>
      </c>
      <c r="B91" s="579" t="s">
        <v>285</v>
      </c>
      <c r="C91" s="580">
        <v>0</v>
      </c>
      <c r="D91" s="580">
        <v>0</v>
      </c>
      <c r="E91" s="580">
        <v>45000000</v>
      </c>
    </row>
    <row r="92" spans="1:5" ht="25.5" x14ac:dyDescent="0.2">
      <c r="A92" s="578" t="s">
        <v>286</v>
      </c>
      <c r="B92" s="579" t="s">
        <v>287</v>
      </c>
      <c r="C92" s="580">
        <v>2330030</v>
      </c>
      <c r="D92" s="580">
        <v>0</v>
      </c>
      <c r="E92" s="580">
        <v>33500</v>
      </c>
    </row>
    <row r="93" spans="1:5" ht="25.5" x14ac:dyDescent="0.2">
      <c r="A93" s="578" t="s">
        <v>288</v>
      </c>
      <c r="B93" s="579" t="s">
        <v>289</v>
      </c>
      <c r="C93" s="580">
        <v>0</v>
      </c>
      <c r="D93" s="580">
        <v>0</v>
      </c>
      <c r="E93" s="580">
        <v>0</v>
      </c>
    </row>
    <row r="94" spans="1:5" ht="38.25" x14ac:dyDescent="0.2">
      <c r="A94" s="578" t="s">
        <v>290</v>
      </c>
      <c r="B94" s="579" t="s">
        <v>291</v>
      </c>
      <c r="C94" s="580">
        <v>0</v>
      </c>
      <c r="D94" s="580">
        <v>0</v>
      </c>
      <c r="E94" s="580">
        <v>0</v>
      </c>
    </row>
    <row r="95" spans="1:5" ht="25.5" x14ac:dyDescent="0.2">
      <c r="A95" s="578" t="s">
        <v>292</v>
      </c>
      <c r="B95" s="579" t="s">
        <v>293</v>
      </c>
      <c r="C95" s="580">
        <v>78480</v>
      </c>
      <c r="D95" s="580">
        <v>0</v>
      </c>
      <c r="E95" s="580">
        <v>33500</v>
      </c>
    </row>
    <row r="96" spans="1:5" ht="25.5" x14ac:dyDescent="0.2">
      <c r="A96" s="578" t="s">
        <v>294</v>
      </c>
      <c r="B96" s="579" t="s">
        <v>295</v>
      </c>
      <c r="C96" s="580">
        <v>0</v>
      </c>
      <c r="D96" s="580">
        <v>0</v>
      </c>
      <c r="E96" s="580">
        <v>0</v>
      </c>
    </row>
    <row r="97" spans="1:5" ht="25.5" x14ac:dyDescent="0.2">
      <c r="A97" s="578" t="s">
        <v>296</v>
      </c>
      <c r="B97" s="579" t="s">
        <v>297</v>
      </c>
      <c r="C97" s="580">
        <v>0</v>
      </c>
      <c r="D97" s="580">
        <v>0</v>
      </c>
      <c r="E97" s="580">
        <v>0</v>
      </c>
    </row>
    <row r="98" spans="1:5" ht="25.5" x14ac:dyDescent="0.2">
      <c r="A98" s="578" t="s">
        <v>298</v>
      </c>
      <c r="B98" s="579" t="s">
        <v>299</v>
      </c>
      <c r="C98" s="580">
        <v>0</v>
      </c>
      <c r="D98" s="580">
        <v>0</v>
      </c>
      <c r="E98" s="580">
        <v>0</v>
      </c>
    </row>
    <row r="99" spans="1:5" ht="25.5" x14ac:dyDescent="0.2">
      <c r="A99" s="578" t="s">
        <v>300</v>
      </c>
      <c r="B99" s="579" t="s">
        <v>301</v>
      </c>
      <c r="C99" s="580">
        <v>0</v>
      </c>
      <c r="D99" s="580">
        <v>0</v>
      </c>
      <c r="E99" s="580">
        <v>0</v>
      </c>
    </row>
    <row r="100" spans="1:5" ht="25.5" x14ac:dyDescent="0.2">
      <c r="A100" s="578" t="s">
        <v>302</v>
      </c>
      <c r="B100" s="579" t="s">
        <v>303</v>
      </c>
      <c r="C100" s="580">
        <v>0</v>
      </c>
      <c r="D100" s="580">
        <v>0</v>
      </c>
      <c r="E100" s="580">
        <v>0</v>
      </c>
    </row>
    <row r="101" spans="1:5" ht="25.5" x14ac:dyDescent="0.2">
      <c r="A101" s="578" t="s">
        <v>304</v>
      </c>
      <c r="B101" s="579" t="s">
        <v>305</v>
      </c>
      <c r="C101" s="580">
        <v>0</v>
      </c>
      <c r="D101" s="580">
        <v>0</v>
      </c>
      <c r="E101" s="580">
        <v>0</v>
      </c>
    </row>
    <row r="102" spans="1:5" ht="25.5" x14ac:dyDescent="0.2">
      <c r="A102" s="578" t="s">
        <v>306</v>
      </c>
      <c r="B102" s="579" t="s">
        <v>307</v>
      </c>
      <c r="C102" s="580">
        <v>0</v>
      </c>
      <c r="D102" s="580">
        <v>0</v>
      </c>
      <c r="E102" s="580">
        <v>0</v>
      </c>
    </row>
    <row r="103" spans="1:5" ht="25.5" x14ac:dyDescent="0.2">
      <c r="A103" s="578" t="s">
        <v>308</v>
      </c>
      <c r="B103" s="579" t="s">
        <v>309</v>
      </c>
      <c r="C103" s="580">
        <v>0</v>
      </c>
      <c r="D103" s="580">
        <v>0</v>
      </c>
      <c r="E103" s="580">
        <v>0</v>
      </c>
    </row>
    <row r="104" spans="1:5" x14ac:dyDescent="0.2">
      <c r="A104" s="581" t="s">
        <v>310</v>
      </c>
      <c r="B104" s="582" t="s">
        <v>311</v>
      </c>
      <c r="C104" s="583">
        <v>150092924</v>
      </c>
      <c r="D104" s="583">
        <v>0</v>
      </c>
      <c r="E104" s="583">
        <v>135801995</v>
      </c>
    </row>
    <row r="105" spans="1:5" ht="25.5" x14ac:dyDescent="0.2">
      <c r="A105" s="578" t="s">
        <v>312</v>
      </c>
      <c r="B105" s="579" t="s">
        <v>313</v>
      </c>
      <c r="C105" s="580">
        <v>0</v>
      </c>
      <c r="D105" s="580">
        <v>0</v>
      </c>
      <c r="E105" s="580">
        <v>0</v>
      </c>
    </row>
    <row r="106" spans="1:5" ht="25.5" x14ac:dyDescent="0.2">
      <c r="A106" s="578" t="s">
        <v>314</v>
      </c>
      <c r="B106" s="579" t="s">
        <v>315</v>
      </c>
      <c r="C106" s="580">
        <v>0</v>
      </c>
      <c r="D106" s="580">
        <v>0</v>
      </c>
      <c r="E106" s="580">
        <v>0</v>
      </c>
    </row>
    <row r="107" spans="1:5" ht="25.5" x14ac:dyDescent="0.2">
      <c r="A107" s="578" t="s">
        <v>316</v>
      </c>
      <c r="B107" s="579" t="s">
        <v>317</v>
      </c>
      <c r="C107" s="580">
        <v>0</v>
      </c>
      <c r="D107" s="580">
        <v>0</v>
      </c>
      <c r="E107" s="580">
        <v>0</v>
      </c>
    </row>
    <row r="108" spans="1:5" ht="25.5" x14ac:dyDescent="0.2">
      <c r="A108" s="578" t="s">
        <v>318</v>
      </c>
      <c r="B108" s="579" t="s">
        <v>319</v>
      </c>
      <c r="C108" s="580">
        <v>0</v>
      </c>
      <c r="D108" s="580">
        <v>0</v>
      </c>
      <c r="E108" s="580">
        <v>0</v>
      </c>
    </row>
    <row r="109" spans="1:5" ht="25.5" x14ac:dyDescent="0.2">
      <c r="A109" s="578" t="s">
        <v>320</v>
      </c>
      <c r="B109" s="579" t="s">
        <v>321</v>
      </c>
      <c r="C109" s="580">
        <v>0</v>
      </c>
      <c r="D109" s="580">
        <v>0</v>
      </c>
      <c r="E109" s="580">
        <v>40928652</v>
      </c>
    </row>
    <row r="110" spans="1:5" x14ac:dyDescent="0.2">
      <c r="A110" s="578" t="s">
        <v>322</v>
      </c>
      <c r="B110" s="579" t="s">
        <v>323</v>
      </c>
      <c r="C110" s="580">
        <v>0</v>
      </c>
      <c r="D110" s="580">
        <v>0</v>
      </c>
      <c r="E110" s="580">
        <v>0</v>
      </c>
    </row>
    <row r="111" spans="1:5" ht="25.5" x14ac:dyDescent="0.2">
      <c r="A111" s="578" t="s">
        <v>324</v>
      </c>
      <c r="B111" s="579" t="s">
        <v>325</v>
      </c>
      <c r="C111" s="580">
        <v>0</v>
      </c>
      <c r="D111" s="580">
        <v>0</v>
      </c>
      <c r="E111" s="580">
        <v>0</v>
      </c>
    </row>
    <row r="112" spans="1:5" ht="25.5" x14ac:dyDescent="0.2">
      <c r="A112" s="578" t="s">
        <v>326</v>
      </c>
      <c r="B112" s="579" t="s">
        <v>327</v>
      </c>
      <c r="C112" s="580">
        <v>0</v>
      </c>
      <c r="D112" s="580">
        <v>0</v>
      </c>
      <c r="E112" s="580">
        <v>0</v>
      </c>
    </row>
    <row r="113" spans="1:5" ht="25.5" x14ac:dyDescent="0.2">
      <c r="A113" s="578" t="s">
        <v>328</v>
      </c>
      <c r="B113" s="579" t="s">
        <v>329</v>
      </c>
      <c r="C113" s="580">
        <v>0</v>
      </c>
      <c r="D113" s="580">
        <v>0</v>
      </c>
      <c r="E113" s="580">
        <v>14021731</v>
      </c>
    </row>
    <row r="114" spans="1:5" ht="25.5" x14ac:dyDescent="0.2">
      <c r="A114" s="578" t="s">
        <v>330</v>
      </c>
      <c r="B114" s="579" t="s">
        <v>331</v>
      </c>
      <c r="C114" s="580">
        <v>0</v>
      </c>
      <c r="D114" s="580">
        <v>0</v>
      </c>
      <c r="E114" s="580">
        <v>26748342</v>
      </c>
    </row>
    <row r="115" spans="1:5" ht="25.5" x14ac:dyDescent="0.2">
      <c r="A115" s="578" t="s">
        <v>332</v>
      </c>
      <c r="B115" s="579" t="s">
        <v>333</v>
      </c>
      <c r="C115" s="580">
        <v>0</v>
      </c>
      <c r="D115" s="580">
        <v>0</v>
      </c>
      <c r="E115" s="580">
        <v>158579</v>
      </c>
    </row>
    <row r="116" spans="1:5" ht="25.5" x14ac:dyDescent="0.2">
      <c r="A116" s="578" t="s">
        <v>334</v>
      </c>
      <c r="B116" s="579" t="s">
        <v>335</v>
      </c>
      <c r="C116" s="580">
        <v>4541000</v>
      </c>
      <c r="D116" s="580">
        <v>0</v>
      </c>
      <c r="E116" s="580">
        <v>800297</v>
      </c>
    </row>
    <row r="117" spans="1:5" ht="25.5" x14ac:dyDescent="0.2">
      <c r="A117" s="578" t="s">
        <v>336</v>
      </c>
      <c r="B117" s="579" t="s">
        <v>337</v>
      </c>
      <c r="C117" s="580">
        <v>0</v>
      </c>
      <c r="D117" s="580">
        <v>0</v>
      </c>
      <c r="E117" s="580">
        <v>504405</v>
      </c>
    </row>
    <row r="118" spans="1:5" ht="25.5" x14ac:dyDescent="0.2">
      <c r="A118" s="578" t="s">
        <v>338</v>
      </c>
      <c r="B118" s="579" t="s">
        <v>339</v>
      </c>
      <c r="C118" s="580">
        <v>0</v>
      </c>
      <c r="D118" s="580">
        <v>0</v>
      </c>
      <c r="E118" s="580">
        <v>48600</v>
      </c>
    </row>
    <row r="119" spans="1:5" x14ac:dyDescent="0.2">
      <c r="A119" s="578" t="s">
        <v>340</v>
      </c>
      <c r="B119" s="579" t="s">
        <v>341</v>
      </c>
      <c r="C119" s="580">
        <v>0</v>
      </c>
      <c r="D119" s="580">
        <v>0</v>
      </c>
      <c r="E119" s="580">
        <v>0</v>
      </c>
    </row>
    <row r="120" spans="1:5" ht="25.5" x14ac:dyDescent="0.2">
      <c r="A120" s="578" t="s">
        <v>342</v>
      </c>
      <c r="B120" s="579" t="s">
        <v>343</v>
      </c>
      <c r="C120" s="580">
        <v>0</v>
      </c>
      <c r="D120" s="580">
        <v>0</v>
      </c>
      <c r="E120" s="580">
        <v>125103</v>
      </c>
    </row>
    <row r="121" spans="1:5" ht="25.5" x14ac:dyDescent="0.2">
      <c r="A121" s="578" t="s">
        <v>344</v>
      </c>
      <c r="B121" s="579" t="s">
        <v>345</v>
      </c>
      <c r="C121" s="580">
        <v>4541000</v>
      </c>
      <c r="D121" s="580">
        <v>0</v>
      </c>
      <c r="E121" s="580">
        <v>0</v>
      </c>
    </row>
    <row r="122" spans="1:5" ht="25.5" x14ac:dyDescent="0.2">
      <c r="A122" s="578" t="s">
        <v>346</v>
      </c>
      <c r="B122" s="579" t="s">
        <v>1310</v>
      </c>
      <c r="C122" s="580">
        <v>0</v>
      </c>
      <c r="D122" s="580">
        <v>0</v>
      </c>
      <c r="E122" s="580">
        <v>0</v>
      </c>
    </row>
    <row r="123" spans="1:5" ht="25.5" x14ac:dyDescent="0.2">
      <c r="A123" s="578" t="s">
        <v>347</v>
      </c>
      <c r="B123" s="579" t="s">
        <v>348</v>
      </c>
      <c r="C123" s="580">
        <v>0</v>
      </c>
      <c r="D123" s="580">
        <v>0</v>
      </c>
      <c r="E123" s="580">
        <v>0</v>
      </c>
    </row>
    <row r="124" spans="1:5" ht="25.5" x14ac:dyDescent="0.2">
      <c r="A124" s="578" t="s">
        <v>349</v>
      </c>
      <c r="B124" s="579" t="s">
        <v>350</v>
      </c>
      <c r="C124" s="580">
        <v>0</v>
      </c>
      <c r="D124" s="580">
        <v>0</v>
      </c>
      <c r="E124" s="580">
        <v>0</v>
      </c>
    </row>
    <row r="125" spans="1:5" ht="25.5" x14ac:dyDescent="0.2">
      <c r="A125" s="578" t="s">
        <v>351</v>
      </c>
      <c r="B125" s="579" t="s">
        <v>352</v>
      </c>
      <c r="C125" s="580">
        <v>0</v>
      </c>
      <c r="D125" s="580">
        <v>0</v>
      </c>
      <c r="E125" s="580">
        <v>122189</v>
      </c>
    </row>
    <row r="126" spans="1:5" ht="25.5" x14ac:dyDescent="0.2">
      <c r="A126" s="578" t="s">
        <v>353</v>
      </c>
      <c r="B126" s="579" t="s">
        <v>354</v>
      </c>
      <c r="C126" s="580">
        <v>0</v>
      </c>
      <c r="D126" s="580">
        <v>0</v>
      </c>
      <c r="E126" s="580">
        <v>0</v>
      </c>
    </row>
    <row r="127" spans="1:5" ht="25.5" x14ac:dyDescent="0.2">
      <c r="A127" s="578" t="s">
        <v>355</v>
      </c>
      <c r="B127" s="579" t="s">
        <v>356</v>
      </c>
      <c r="C127" s="580">
        <v>0</v>
      </c>
      <c r="D127" s="580">
        <v>0</v>
      </c>
      <c r="E127" s="580">
        <v>0</v>
      </c>
    </row>
    <row r="128" spans="1:5" ht="25.5" x14ac:dyDescent="0.2">
      <c r="A128" s="578" t="s">
        <v>357</v>
      </c>
      <c r="B128" s="579" t="s">
        <v>358</v>
      </c>
      <c r="C128" s="580">
        <v>0</v>
      </c>
      <c r="D128" s="580">
        <v>0</v>
      </c>
      <c r="E128" s="580">
        <v>0</v>
      </c>
    </row>
    <row r="129" spans="1:5" ht="25.5" x14ac:dyDescent="0.2">
      <c r="A129" s="578" t="s">
        <v>359</v>
      </c>
      <c r="B129" s="579" t="s">
        <v>360</v>
      </c>
      <c r="C129" s="580">
        <v>0</v>
      </c>
      <c r="D129" s="580">
        <v>0</v>
      </c>
      <c r="E129" s="580">
        <v>0</v>
      </c>
    </row>
    <row r="130" spans="1:5" ht="25.5" x14ac:dyDescent="0.2">
      <c r="A130" s="578" t="s">
        <v>361</v>
      </c>
      <c r="B130" s="579" t="s">
        <v>362</v>
      </c>
      <c r="C130" s="580">
        <v>0</v>
      </c>
      <c r="D130" s="580">
        <v>0</v>
      </c>
      <c r="E130" s="580">
        <v>0</v>
      </c>
    </row>
    <row r="131" spans="1:5" ht="25.5" x14ac:dyDescent="0.2">
      <c r="A131" s="578" t="s">
        <v>363</v>
      </c>
      <c r="B131" s="579" t="s">
        <v>364</v>
      </c>
      <c r="C131" s="580">
        <v>0</v>
      </c>
      <c r="D131" s="580">
        <v>0</v>
      </c>
      <c r="E131" s="580">
        <v>0</v>
      </c>
    </row>
    <row r="132" spans="1:5" ht="25.5" x14ac:dyDescent="0.2">
      <c r="A132" s="578" t="s">
        <v>365</v>
      </c>
      <c r="B132" s="579" t="s">
        <v>366</v>
      </c>
      <c r="C132" s="580">
        <v>33600000</v>
      </c>
      <c r="D132" s="580">
        <v>0</v>
      </c>
      <c r="E132" s="580">
        <v>0</v>
      </c>
    </row>
    <row r="133" spans="1:5" ht="25.5" x14ac:dyDescent="0.2">
      <c r="A133" s="578" t="s">
        <v>367</v>
      </c>
      <c r="B133" s="579" t="s">
        <v>368</v>
      </c>
      <c r="C133" s="580">
        <v>0</v>
      </c>
      <c r="D133" s="580">
        <v>0</v>
      </c>
      <c r="E133" s="580">
        <v>0</v>
      </c>
    </row>
    <row r="134" spans="1:5" ht="38.25" x14ac:dyDescent="0.2">
      <c r="A134" s="578" t="s">
        <v>369</v>
      </c>
      <c r="B134" s="579" t="s">
        <v>370</v>
      </c>
      <c r="C134" s="580">
        <v>0</v>
      </c>
      <c r="D134" s="580">
        <v>0</v>
      </c>
      <c r="E134" s="580">
        <v>0</v>
      </c>
    </row>
    <row r="135" spans="1:5" ht="25.5" x14ac:dyDescent="0.2">
      <c r="A135" s="578" t="s">
        <v>371</v>
      </c>
      <c r="B135" s="579" t="s">
        <v>372</v>
      </c>
      <c r="C135" s="580">
        <v>33600000</v>
      </c>
      <c r="D135" s="580">
        <v>0</v>
      </c>
      <c r="E135" s="580">
        <v>0</v>
      </c>
    </row>
    <row r="136" spans="1:5" ht="25.5" x14ac:dyDescent="0.2">
      <c r="A136" s="578" t="s">
        <v>373</v>
      </c>
      <c r="B136" s="579" t="s">
        <v>374</v>
      </c>
      <c r="C136" s="580">
        <v>11973030</v>
      </c>
      <c r="D136" s="580">
        <v>0</v>
      </c>
      <c r="E136" s="580">
        <v>10808100</v>
      </c>
    </row>
    <row r="137" spans="1:5" ht="25.5" x14ac:dyDescent="0.2">
      <c r="A137" s="578" t="s">
        <v>375</v>
      </c>
      <c r="B137" s="579" t="s">
        <v>376</v>
      </c>
      <c r="C137" s="580">
        <v>0</v>
      </c>
      <c r="D137" s="580">
        <v>0</v>
      </c>
      <c r="E137" s="580">
        <v>0</v>
      </c>
    </row>
    <row r="138" spans="1:5" ht="38.25" x14ac:dyDescent="0.2">
      <c r="A138" s="578" t="s">
        <v>377</v>
      </c>
      <c r="B138" s="579" t="s">
        <v>378</v>
      </c>
      <c r="C138" s="580">
        <v>0</v>
      </c>
      <c r="D138" s="580">
        <v>0</v>
      </c>
      <c r="E138" s="580">
        <v>0</v>
      </c>
    </row>
    <row r="139" spans="1:5" ht="25.5" x14ac:dyDescent="0.2">
      <c r="A139" s="578" t="s">
        <v>379</v>
      </c>
      <c r="B139" s="579" t="s">
        <v>380</v>
      </c>
      <c r="C139" s="580">
        <v>11973030</v>
      </c>
      <c r="D139" s="580">
        <v>0</v>
      </c>
      <c r="E139" s="580">
        <v>10808100</v>
      </c>
    </row>
    <row r="140" spans="1:5" ht="25.5" x14ac:dyDescent="0.2">
      <c r="A140" s="578" t="s">
        <v>381</v>
      </c>
      <c r="B140" s="579" t="s">
        <v>1311</v>
      </c>
      <c r="C140" s="580">
        <v>0</v>
      </c>
      <c r="D140" s="580">
        <v>0</v>
      </c>
      <c r="E140" s="580">
        <v>0</v>
      </c>
    </row>
    <row r="141" spans="1:5" ht="25.5" x14ac:dyDescent="0.2">
      <c r="A141" s="578" t="s">
        <v>382</v>
      </c>
      <c r="B141" s="579" t="s">
        <v>383</v>
      </c>
      <c r="C141" s="580">
        <v>0</v>
      </c>
      <c r="D141" s="580">
        <v>0</v>
      </c>
      <c r="E141" s="580">
        <v>0</v>
      </c>
    </row>
    <row r="142" spans="1:5" ht="25.5" x14ac:dyDescent="0.2">
      <c r="A142" s="578" t="s">
        <v>384</v>
      </c>
      <c r="B142" s="579" t="s">
        <v>1312</v>
      </c>
      <c r="C142" s="580">
        <v>0</v>
      </c>
      <c r="D142" s="580">
        <v>0</v>
      </c>
      <c r="E142" s="580">
        <v>0</v>
      </c>
    </row>
    <row r="143" spans="1:5" ht="25.5" x14ac:dyDescent="0.2">
      <c r="A143" s="578" t="s">
        <v>385</v>
      </c>
      <c r="B143" s="579" t="s">
        <v>1313</v>
      </c>
      <c r="C143" s="580">
        <v>0</v>
      </c>
      <c r="D143" s="580">
        <v>0</v>
      </c>
      <c r="E143" s="580">
        <v>0</v>
      </c>
    </row>
    <row r="144" spans="1:5" ht="25.5" x14ac:dyDescent="0.2">
      <c r="A144" s="578" t="s">
        <v>386</v>
      </c>
      <c r="B144" s="579" t="s">
        <v>1314</v>
      </c>
      <c r="C144" s="580">
        <v>0</v>
      </c>
      <c r="D144" s="580">
        <v>0</v>
      </c>
      <c r="E144" s="580">
        <v>0</v>
      </c>
    </row>
    <row r="145" spans="1:5" x14ac:dyDescent="0.2">
      <c r="A145" s="581" t="s">
        <v>388</v>
      </c>
      <c r="B145" s="582" t="s">
        <v>387</v>
      </c>
      <c r="C145" s="583">
        <v>50114030</v>
      </c>
      <c r="D145" s="583">
        <v>0</v>
      </c>
      <c r="E145" s="583">
        <v>52537049</v>
      </c>
    </row>
    <row r="146" spans="1:5" x14ac:dyDescent="0.2">
      <c r="A146" s="578" t="s">
        <v>390</v>
      </c>
      <c r="B146" s="579" t="s">
        <v>389</v>
      </c>
      <c r="C146" s="580">
        <v>2912145</v>
      </c>
      <c r="D146" s="580">
        <v>0</v>
      </c>
      <c r="E146" s="580">
        <v>37371284</v>
      </c>
    </row>
    <row r="147" spans="1:5" x14ac:dyDescent="0.2">
      <c r="A147" s="578" t="s">
        <v>392</v>
      </c>
      <c r="B147" s="579" t="s">
        <v>391</v>
      </c>
      <c r="C147" s="580">
        <v>0</v>
      </c>
      <c r="D147" s="580">
        <v>0</v>
      </c>
      <c r="E147" s="580">
        <v>0</v>
      </c>
    </row>
    <row r="148" spans="1:5" x14ac:dyDescent="0.2">
      <c r="A148" s="578" t="s">
        <v>393</v>
      </c>
      <c r="B148" s="579" t="s">
        <v>1315</v>
      </c>
      <c r="C148" s="580">
        <v>0</v>
      </c>
      <c r="D148" s="580">
        <v>0</v>
      </c>
      <c r="E148" s="580">
        <v>36944471</v>
      </c>
    </row>
    <row r="149" spans="1:5" x14ac:dyDescent="0.2">
      <c r="A149" s="578" t="s">
        <v>395</v>
      </c>
      <c r="B149" s="579" t="s">
        <v>394</v>
      </c>
      <c r="C149" s="580">
        <v>0</v>
      </c>
      <c r="D149" s="580">
        <v>0</v>
      </c>
      <c r="E149" s="580">
        <v>0</v>
      </c>
    </row>
    <row r="150" spans="1:5" x14ac:dyDescent="0.2">
      <c r="A150" s="578" t="s">
        <v>397</v>
      </c>
      <c r="B150" s="579" t="s">
        <v>396</v>
      </c>
      <c r="C150" s="580">
        <v>0</v>
      </c>
      <c r="D150" s="580">
        <v>0</v>
      </c>
      <c r="E150" s="580">
        <v>0</v>
      </c>
    </row>
    <row r="151" spans="1:5" x14ac:dyDescent="0.2">
      <c r="A151" s="578" t="s">
        <v>399</v>
      </c>
      <c r="B151" s="579" t="s">
        <v>398</v>
      </c>
      <c r="C151" s="580">
        <v>507848</v>
      </c>
      <c r="D151" s="580">
        <v>0</v>
      </c>
      <c r="E151" s="580">
        <v>6000</v>
      </c>
    </row>
    <row r="152" spans="1:5" x14ac:dyDescent="0.2">
      <c r="A152" s="578" t="s">
        <v>401</v>
      </c>
      <c r="B152" s="579" t="s">
        <v>400</v>
      </c>
      <c r="C152" s="580">
        <v>2404297</v>
      </c>
      <c r="D152" s="580">
        <v>0</v>
      </c>
      <c r="E152" s="580">
        <v>420813</v>
      </c>
    </row>
    <row r="153" spans="1:5" x14ac:dyDescent="0.2">
      <c r="A153" s="578" t="s">
        <v>403</v>
      </c>
      <c r="B153" s="579" t="s">
        <v>402</v>
      </c>
      <c r="C153" s="580">
        <v>0</v>
      </c>
      <c r="D153" s="580">
        <v>0</v>
      </c>
      <c r="E153" s="580">
        <v>0</v>
      </c>
    </row>
    <row r="154" spans="1:5" x14ac:dyDescent="0.2">
      <c r="A154" s="578" t="s">
        <v>405</v>
      </c>
      <c r="B154" s="579" t="s">
        <v>404</v>
      </c>
      <c r="C154" s="580">
        <v>0</v>
      </c>
      <c r="D154" s="580">
        <v>0</v>
      </c>
      <c r="E154" s="580">
        <v>0</v>
      </c>
    </row>
    <row r="155" spans="1:5" x14ac:dyDescent="0.2">
      <c r="A155" s="578" t="s">
        <v>407</v>
      </c>
      <c r="B155" s="579" t="s">
        <v>406</v>
      </c>
      <c r="C155" s="580">
        <v>400000</v>
      </c>
      <c r="D155" s="580">
        <v>0</v>
      </c>
      <c r="E155" s="580">
        <v>400000</v>
      </c>
    </row>
    <row r="156" spans="1:5" ht="25.5" x14ac:dyDescent="0.2">
      <c r="A156" s="578" t="s">
        <v>409</v>
      </c>
      <c r="B156" s="579" t="s">
        <v>408</v>
      </c>
      <c r="C156" s="580">
        <v>0</v>
      </c>
      <c r="D156" s="580">
        <v>0</v>
      </c>
      <c r="E156" s="580">
        <v>0</v>
      </c>
    </row>
    <row r="157" spans="1:5" ht="25.5" x14ac:dyDescent="0.2">
      <c r="A157" s="578" t="s">
        <v>411</v>
      </c>
      <c r="B157" s="579" t="s">
        <v>410</v>
      </c>
      <c r="C157" s="580">
        <v>0</v>
      </c>
      <c r="D157" s="580">
        <v>0</v>
      </c>
      <c r="E157" s="580">
        <v>0</v>
      </c>
    </row>
    <row r="158" spans="1:5" ht="25.5" x14ac:dyDescent="0.2">
      <c r="A158" s="578" t="s">
        <v>413</v>
      </c>
      <c r="B158" s="579" t="s">
        <v>412</v>
      </c>
      <c r="C158" s="580">
        <v>0</v>
      </c>
      <c r="D158" s="580">
        <v>0</v>
      </c>
      <c r="E158" s="580">
        <v>0</v>
      </c>
    </row>
    <row r="159" spans="1:5" x14ac:dyDescent="0.2">
      <c r="A159" s="578" t="s">
        <v>414</v>
      </c>
      <c r="B159" s="579" t="s">
        <v>1316</v>
      </c>
      <c r="C159" s="580">
        <v>0</v>
      </c>
      <c r="D159" s="580">
        <v>0</v>
      </c>
      <c r="E159" s="580">
        <v>0</v>
      </c>
    </row>
    <row r="160" spans="1:5" x14ac:dyDescent="0.2">
      <c r="A160" s="578" t="s">
        <v>416</v>
      </c>
      <c r="B160" s="579" t="s">
        <v>415</v>
      </c>
      <c r="C160" s="580">
        <v>0</v>
      </c>
      <c r="D160" s="580">
        <v>0</v>
      </c>
      <c r="E160" s="580">
        <v>0</v>
      </c>
    </row>
    <row r="161" spans="1:5" x14ac:dyDescent="0.2">
      <c r="A161" s="581" t="s">
        <v>418</v>
      </c>
      <c r="B161" s="582" t="s">
        <v>417</v>
      </c>
      <c r="C161" s="583">
        <v>3312145</v>
      </c>
      <c r="D161" s="583">
        <v>0</v>
      </c>
      <c r="E161" s="583">
        <v>37771284</v>
      </c>
    </row>
    <row r="162" spans="1:5" x14ac:dyDescent="0.2">
      <c r="A162" s="581" t="s">
        <v>420</v>
      </c>
      <c r="B162" s="582" t="s">
        <v>419</v>
      </c>
      <c r="C162" s="583">
        <v>203519099</v>
      </c>
      <c r="D162" s="583">
        <v>0</v>
      </c>
      <c r="E162" s="583">
        <v>226110328</v>
      </c>
    </row>
    <row r="163" spans="1:5" ht="25.5" x14ac:dyDescent="0.2">
      <c r="A163" s="578" t="s">
        <v>421</v>
      </c>
      <c r="B163" s="579" t="s">
        <v>1317</v>
      </c>
      <c r="C163" s="580">
        <v>0</v>
      </c>
      <c r="D163" s="580">
        <v>0</v>
      </c>
      <c r="E163" s="580">
        <v>9975007</v>
      </c>
    </row>
    <row r="164" spans="1:5" x14ac:dyDescent="0.2">
      <c r="A164" s="578" t="s">
        <v>422</v>
      </c>
      <c r="B164" s="579" t="s">
        <v>1318</v>
      </c>
      <c r="C164" s="580">
        <v>0</v>
      </c>
      <c r="D164" s="580">
        <v>0</v>
      </c>
      <c r="E164" s="580">
        <v>17072993</v>
      </c>
    </row>
    <row r="165" spans="1:5" ht="25.5" x14ac:dyDescent="0.2">
      <c r="A165" s="578" t="s">
        <v>423</v>
      </c>
      <c r="B165" s="579" t="s">
        <v>1319</v>
      </c>
      <c r="C165" s="580">
        <v>0</v>
      </c>
      <c r="D165" s="580">
        <v>0</v>
      </c>
      <c r="E165" s="580">
        <v>0</v>
      </c>
    </row>
    <row r="166" spans="1:5" x14ac:dyDescent="0.2">
      <c r="A166" s="578" t="s">
        <v>425</v>
      </c>
      <c r="B166" s="579" t="s">
        <v>1320</v>
      </c>
      <c r="C166" s="580">
        <v>0</v>
      </c>
      <c r="D166" s="580">
        <v>0</v>
      </c>
      <c r="E166" s="580">
        <v>0</v>
      </c>
    </row>
    <row r="167" spans="1:5" ht="25.5" x14ac:dyDescent="0.2">
      <c r="A167" s="581" t="s">
        <v>427</v>
      </c>
      <c r="B167" s="582" t="s">
        <v>1321</v>
      </c>
      <c r="C167" s="583">
        <v>0</v>
      </c>
      <c r="D167" s="583">
        <v>0</v>
      </c>
      <c r="E167" s="583">
        <v>27048000</v>
      </c>
    </row>
    <row r="168" spans="1:5" x14ac:dyDescent="0.2">
      <c r="A168" s="578" t="s">
        <v>429</v>
      </c>
      <c r="B168" s="579" t="s">
        <v>1322</v>
      </c>
      <c r="C168" s="580">
        <v>0</v>
      </c>
      <c r="D168" s="580">
        <v>0</v>
      </c>
      <c r="E168" s="580">
        <v>0</v>
      </c>
    </row>
    <row r="169" spans="1:5" x14ac:dyDescent="0.2">
      <c r="A169" s="578" t="s">
        <v>431</v>
      </c>
      <c r="B169" s="579" t="s">
        <v>1323</v>
      </c>
      <c r="C169" s="580">
        <v>0</v>
      </c>
      <c r="D169" s="580">
        <v>0</v>
      </c>
      <c r="E169" s="580">
        <v>-255712</v>
      </c>
    </row>
    <row r="170" spans="1:5" x14ac:dyDescent="0.2">
      <c r="A170" s="581" t="s">
        <v>433</v>
      </c>
      <c r="B170" s="582" t="s">
        <v>1324</v>
      </c>
      <c r="C170" s="583">
        <v>0</v>
      </c>
      <c r="D170" s="583">
        <v>0</v>
      </c>
      <c r="E170" s="583">
        <v>-255712</v>
      </c>
    </row>
    <row r="171" spans="1:5" x14ac:dyDescent="0.2">
      <c r="A171" s="578" t="s">
        <v>435</v>
      </c>
      <c r="B171" s="579" t="s">
        <v>1325</v>
      </c>
      <c r="C171" s="580">
        <v>0</v>
      </c>
      <c r="D171" s="580">
        <v>0</v>
      </c>
      <c r="E171" s="580">
        <v>0</v>
      </c>
    </row>
    <row r="172" spans="1:5" ht="25.5" x14ac:dyDescent="0.2">
      <c r="A172" s="578" t="s">
        <v>437</v>
      </c>
      <c r="B172" s="579" t="s">
        <v>1326</v>
      </c>
      <c r="C172" s="580">
        <v>0</v>
      </c>
      <c r="D172" s="580">
        <v>0</v>
      </c>
      <c r="E172" s="580">
        <v>0</v>
      </c>
    </row>
    <row r="173" spans="1:5" x14ac:dyDescent="0.2">
      <c r="A173" s="581" t="s">
        <v>438</v>
      </c>
      <c r="B173" s="582" t="s">
        <v>1327</v>
      </c>
      <c r="C173" s="583">
        <v>0</v>
      </c>
      <c r="D173" s="583">
        <v>0</v>
      </c>
      <c r="E173" s="583">
        <v>0</v>
      </c>
    </row>
    <row r="174" spans="1:5" x14ac:dyDescent="0.2">
      <c r="A174" s="581" t="s">
        <v>440</v>
      </c>
      <c r="B174" s="582" t="s">
        <v>1328</v>
      </c>
      <c r="C174" s="583">
        <v>0</v>
      </c>
      <c r="D174" s="583">
        <v>0</v>
      </c>
      <c r="E174" s="583">
        <v>26792288</v>
      </c>
    </row>
    <row r="175" spans="1:5" x14ac:dyDescent="0.2">
      <c r="A175" s="578" t="s">
        <v>442</v>
      </c>
      <c r="B175" s="579" t="s">
        <v>424</v>
      </c>
      <c r="C175" s="580">
        <v>0</v>
      </c>
      <c r="D175" s="580">
        <v>0</v>
      </c>
      <c r="E175" s="580">
        <v>0</v>
      </c>
    </row>
    <row r="176" spans="1:5" x14ac:dyDescent="0.2">
      <c r="A176" s="578" t="s">
        <v>444</v>
      </c>
      <c r="B176" s="579" t="s">
        <v>426</v>
      </c>
      <c r="C176" s="580">
        <v>4444734</v>
      </c>
      <c r="D176" s="580">
        <v>0</v>
      </c>
      <c r="E176" s="580">
        <v>3367908</v>
      </c>
    </row>
    <row r="177" spans="1:5" x14ac:dyDescent="0.2">
      <c r="A177" s="578" t="s">
        <v>446</v>
      </c>
      <c r="B177" s="579" t="s">
        <v>428</v>
      </c>
      <c r="C177" s="580">
        <v>0</v>
      </c>
      <c r="D177" s="580">
        <v>0</v>
      </c>
      <c r="E177" s="580">
        <v>0</v>
      </c>
    </row>
    <row r="178" spans="1:5" x14ac:dyDescent="0.2">
      <c r="A178" s="581" t="s">
        <v>448</v>
      </c>
      <c r="B178" s="582" t="s">
        <v>430</v>
      </c>
      <c r="C178" s="583">
        <v>4444734</v>
      </c>
      <c r="D178" s="583">
        <v>0</v>
      </c>
      <c r="E178" s="583">
        <v>3367908</v>
      </c>
    </row>
    <row r="179" spans="1:5" x14ac:dyDescent="0.2">
      <c r="A179" s="581" t="s">
        <v>450</v>
      </c>
      <c r="B179" s="582" t="s">
        <v>432</v>
      </c>
      <c r="C179" s="583">
        <v>22492064040</v>
      </c>
      <c r="D179" s="583">
        <v>0</v>
      </c>
      <c r="E179" s="583">
        <v>23115902569</v>
      </c>
    </row>
    <row r="180" spans="1:5" x14ac:dyDescent="0.2">
      <c r="A180" s="578" t="s">
        <v>452</v>
      </c>
      <c r="B180" s="579" t="s">
        <v>434</v>
      </c>
      <c r="C180" s="580">
        <v>24191884537</v>
      </c>
      <c r="D180" s="580">
        <v>0</v>
      </c>
      <c r="E180" s="580">
        <v>24191884537</v>
      </c>
    </row>
    <row r="181" spans="1:5" x14ac:dyDescent="0.2">
      <c r="A181" s="578" t="s">
        <v>454</v>
      </c>
      <c r="B181" s="579" t="s">
        <v>436</v>
      </c>
      <c r="C181" s="580">
        <v>87765341</v>
      </c>
      <c r="D181" s="580">
        <v>0</v>
      </c>
      <c r="E181" s="580">
        <v>249581415</v>
      </c>
    </row>
    <row r="182" spans="1:5" x14ac:dyDescent="0.2">
      <c r="A182" s="578" t="s">
        <v>456</v>
      </c>
      <c r="B182" s="579" t="s">
        <v>1329</v>
      </c>
      <c r="C182" s="580">
        <v>0</v>
      </c>
      <c r="D182" s="580">
        <v>0</v>
      </c>
      <c r="E182" s="580">
        <v>0</v>
      </c>
    </row>
    <row r="183" spans="1:5" ht="25.5" x14ac:dyDescent="0.2">
      <c r="A183" s="578" t="s">
        <v>458</v>
      </c>
      <c r="B183" s="579" t="s">
        <v>1330</v>
      </c>
      <c r="C183" s="580">
        <v>0</v>
      </c>
      <c r="D183" s="580">
        <v>0</v>
      </c>
      <c r="E183" s="580">
        <v>0</v>
      </c>
    </row>
    <row r="184" spans="1:5" x14ac:dyDescent="0.2">
      <c r="A184" s="578" t="s">
        <v>460</v>
      </c>
      <c r="B184" s="579" t="s">
        <v>1331</v>
      </c>
      <c r="C184" s="580">
        <v>458684030</v>
      </c>
      <c r="D184" s="580">
        <v>0</v>
      </c>
      <c r="E184" s="580">
        <v>458684030</v>
      </c>
    </row>
    <row r="185" spans="1:5" x14ac:dyDescent="0.2">
      <c r="A185" s="581" t="s">
        <v>462</v>
      </c>
      <c r="B185" s="582" t="s">
        <v>1332</v>
      </c>
      <c r="C185" s="583">
        <v>458684030</v>
      </c>
      <c r="D185" s="583">
        <v>0</v>
      </c>
      <c r="E185" s="583">
        <v>458684030</v>
      </c>
    </row>
    <row r="186" spans="1:5" x14ac:dyDescent="0.2">
      <c r="A186" s="578" t="s">
        <v>464</v>
      </c>
      <c r="B186" s="579" t="s">
        <v>439</v>
      </c>
      <c r="C186" s="580">
        <v>-3575971402</v>
      </c>
      <c r="D186" s="580">
        <v>0</v>
      </c>
      <c r="E186" s="580">
        <v>-3826257162</v>
      </c>
    </row>
    <row r="187" spans="1:5" x14ac:dyDescent="0.2">
      <c r="A187" s="578" t="s">
        <v>466</v>
      </c>
      <c r="B187" s="579" t="s">
        <v>441</v>
      </c>
      <c r="C187" s="580">
        <v>584522737</v>
      </c>
      <c r="D187" s="580">
        <v>0</v>
      </c>
      <c r="E187" s="580">
        <v>584522737</v>
      </c>
    </row>
    <row r="188" spans="1:5" x14ac:dyDescent="0.2">
      <c r="A188" s="578" t="s">
        <v>468</v>
      </c>
      <c r="B188" s="579" t="s">
        <v>443</v>
      </c>
      <c r="C188" s="580">
        <v>-250285760</v>
      </c>
      <c r="D188" s="580">
        <v>0</v>
      </c>
      <c r="E188" s="580">
        <v>508127945</v>
      </c>
    </row>
    <row r="189" spans="1:5" x14ac:dyDescent="0.2">
      <c r="A189" s="581" t="s">
        <v>470</v>
      </c>
      <c r="B189" s="582" t="s">
        <v>445</v>
      </c>
      <c r="C189" s="583">
        <v>21496599483</v>
      </c>
      <c r="D189" s="583">
        <v>0</v>
      </c>
      <c r="E189" s="583">
        <v>22166543502</v>
      </c>
    </row>
    <row r="190" spans="1:5" x14ac:dyDescent="0.2">
      <c r="A190" s="578" t="s">
        <v>472</v>
      </c>
      <c r="B190" s="579" t="s">
        <v>447</v>
      </c>
      <c r="C190" s="580">
        <v>0</v>
      </c>
      <c r="D190" s="580">
        <v>0</v>
      </c>
      <c r="E190" s="580">
        <v>0</v>
      </c>
    </row>
    <row r="191" spans="1:5" ht="25.5" x14ac:dyDescent="0.2">
      <c r="A191" s="578" t="s">
        <v>474</v>
      </c>
      <c r="B191" s="579" t="s">
        <v>449</v>
      </c>
      <c r="C191" s="580">
        <v>0</v>
      </c>
      <c r="D191" s="580">
        <v>0</v>
      </c>
      <c r="E191" s="580">
        <v>0</v>
      </c>
    </row>
    <row r="192" spans="1:5" x14ac:dyDescent="0.2">
      <c r="A192" s="578" t="s">
        <v>476</v>
      </c>
      <c r="B192" s="579" t="s">
        <v>451</v>
      </c>
      <c r="C192" s="580">
        <v>2289317</v>
      </c>
      <c r="D192" s="580">
        <v>0</v>
      </c>
      <c r="E192" s="580">
        <v>9083204</v>
      </c>
    </row>
    <row r="193" spans="1:5" x14ac:dyDescent="0.2">
      <c r="A193" s="578" t="s">
        <v>478</v>
      </c>
      <c r="B193" s="579" t="s">
        <v>453</v>
      </c>
      <c r="C193" s="580">
        <v>5725</v>
      </c>
      <c r="D193" s="580">
        <v>0</v>
      </c>
      <c r="E193" s="580">
        <v>4500</v>
      </c>
    </row>
    <row r="194" spans="1:5" ht="25.5" x14ac:dyDescent="0.2">
      <c r="A194" s="578" t="s">
        <v>480</v>
      </c>
      <c r="B194" s="579" t="s">
        <v>455</v>
      </c>
      <c r="C194" s="580">
        <v>0</v>
      </c>
      <c r="D194" s="580">
        <v>0</v>
      </c>
      <c r="E194" s="580">
        <v>0</v>
      </c>
    </row>
    <row r="195" spans="1:5" ht="25.5" x14ac:dyDescent="0.2">
      <c r="A195" s="578" t="s">
        <v>482</v>
      </c>
      <c r="B195" s="579" t="s">
        <v>457</v>
      </c>
      <c r="C195" s="580">
        <v>0</v>
      </c>
      <c r="D195" s="580">
        <v>0</v>
      </c>
      <c r="E195" s="580">
        <v>0</v>
      </c>
    </row>
    <row r="196" spans="1:5" ht="25.5" x14ac:dyDescent="0.2">
      <c r="A196" s="578" t="s">
        <v>484</v>
      </c>
      <c r="B196" s="579" t="s">
        <v>459</v>
      </c>
      <c r="C196" s="580">
        <v>0</v>
      </c>
      <c r="D196" s="580">
        <v>0</v>
      </c>
      <c r="E196" s="580">
        <v>0</v>
      </c>
    </row>
    <row r="197" spans="1:5" x14ac:dyDescent="0.2">
      <c r="A197" s="578" t="s">
        <v>486</v>
      </c>
      <c r="B197" s="579" t="s">
        <v>461</v>
      </c>
      <c r="C197" s="580">
        <v>0</v>
      </c>
      <c r="D197" s="580">
        <v>0</v>
      </c>
      <c r="E197" s="580">
        <v>5257800</v>
      </c>
    </row>
    <row r="198" spans="1:5" x14ac:dyDescent="0.2">
      <c r="A198" s="578" t="s">
        <v>488</v>
      </c>
      <c r="B198" s="579" t="s">
        <v>463</v>
      </c>
      <c r="C198" s="580">
        <v>0</v>
      </c>
      <c r="D198" s="580">
        <v>0</v>
      </c>
      <c r="E198" s="580">
        <v>0</v>
      </c>
    </row>
    <row r="199" spans="1:5" ht="25.5" x14ac:dyDescent="0.2">
      <c r="A199" s="578" t="s">
        <v>490</v>
      </c>
      <c r="B199" s="579" t="s">
        <v>465</v>
      </c>
      <c r="C199" s="580">
        <v>0</v>
      </c>
      <c r="D199" s="580">
        <v>0</v>
      </c>
      <c r="E199" s="580">
        <v>0</v>
      </c>
    </row>
    <row r="200" spans="1:5" ht="25.5" x14ac:dyDescent="0.2">
      <c r="A200" s="578" t="s">
        <v>492</v>
      </c>
      <c r="B200" s="579" t="s">
        <v>467</v>
      </c>
      <c r="C200" s="580">
        <v>0</v>
      </c>
      <c r="D200" s="580">
        <v>0</v>
      </c>
      <c r="E200" s="580">
        <v>0</v>
      </c>
    </row>
    <row r="201" spans="1:5" ht="25.5" x14ac:dyDescent="0.2">
      <c r="A201" s="578" t="s">
        <v>494</v>
      </c>
      <c r="B201" s="579" t="s">
        <v>469</v>
      </c>
      <c r="C201" s="580">
        <v>0</v>
      </c>
      <c r="D201" s="580">
        <v>0</v>
      </c>
      <c r="E201" s="580">
        <v>0</v>
      </c>
    </row>
    <row r="202" spans="1:5" ht="25.5" x14ac:dyDescent="0.2">
      <c r="A202" s="578" t="s">
        <v>496</v>
      </c>
      <c r="B202" s="579" t="s">
        <v>471</v>
      </c>
      <c r="C202" s="580">
        <v>0</v>
      </c>
      <c r="D202" s="580">
        <v>0</v>
      </c>
      <c r="E202" s="580">
        <v>0</v>
      </c>
    </row>
    <row r="203" spans="1:5" ht="25.5" x14ac:dyDescent="0.2">
      <c r="A203" s="578" t="s">
        <v>498</v>
      </c>
      <c r="B203" s="579" t="s">
        <v>473</v>
      </c>
      <c r="C203" s="580">
        <v>0</v>
      </c>
      <c r="D203" s="580">
        <v>0</v>
      </c>
      <c r="E203" s="580">
        <v>0</v>
      </c>
    </row>
    <row r="204" spans="1:5" ht="25.5" x14ac:dyDescent="0.2">
      <c r="A204" s="578" t="s">
        <v>500</v>
      </c>
      <c r="B204" s="579" t="s">
        <v>475</v>
      </c>
      <c r="C204" s="580">
        <v>0</v>
      </c>
      <c r="D204" s="580">
        <v>0</v>
      </c>
      <c r="E204" s="580">
        <v>0</v>
      </c>
    </row>
    <row r="205" spans="1:5" ht="25.5" x14ac:dyDescent="0.2">
      <c r="A205" s="578" t="s">
        <v>502</v>
      </c>
      <c r="B205" s="579" t="s">
        <v>477</v>
      </c>
      <c r="C205" s="580">
        <v>0</v>
      </c>
      <c r="D205" s="580">
        <v>0</v>
      </c>
      <c r="E205" s="580">
        <v>0</v>
      </c>
    </row>
    <row r="206" spans="1:5" ht="25.5" x14ac:dyDescent="0.2">
      <c r="A206" s="578" t="s">
        <v>504</v>
      </c>
      <c r="B206" s="579" t="s">
        <v>479</v>
      </c>
      <c r="C206" s="580">
        <v>0</v>
      </c>
      <c r="D206" s="580">
        <v>0</v>
      </c>
      <c r="E206" s="580">
        <v>0</v>
      </c>
    </row>
    <row r="207" spans="1:5" ht="25.5" x14ac:dyDescent="0.2">
      <c r="A207" s="578" t="s">
        <v>506</v>
      </c>
      <c r="B207" s="579" t="s">
        <v>481</v>
      </c>
      <c r="C207" s="580">
        <v>0</v>
      </c>
      <c r="D207" s="580">
        <v>0</v>
      </c>
      <c r="E207" s="580">
        <v>0</v>
      </c>
    </row>
    <row r="208" spans="1:5" ht="25.5" x14ac:dyDescent="0.2">
      <c r="A208" s="578" t="s">
        <v>508</v>
      </c>
      <c r="B208" s="579" t="s">
        <v>483</v>
      </c>
      <c r="C208" s="580">
        <v>0</v>
      </c>
      <c r="D208" s="580">
        <v>0</v>
      </c>
      <c r="E208" s="580">
        <v>0</v>
      </c>
    </row>
    <row r="209" spans="1:5" ht="25.5" x14ac:dyDescent="0.2">
      <c r="A209" s="578" t="s">
        <v>510</v>
      </c>
      <c r="B209" s="579" t="s">
        <v>485</v>
      </c>
      <c r="C209" s="580">
        <v>0</v>
      </c>
      <c r="D209" s="580">
        <v>0</v>
      </c>
      <c r="E209" s="580">
        <v>0</v>
      </c>
    </row>
    <row r="210" spans="1:5" ht="25.5" x14ac:dyDescent="0.2">
      <c r="A210" s="578" t="s">
        <v>512</v>
      </c>
      <c r="B210" s="579" t="s">
        <v>487</v>
      </c>
      <c r="C210" s="580">
        <v>0</v>
      </c>
      <c r="D210" s="580">
        <v>0</v>
      </c>
      <c r="E210" s="580">
        <v>0</v>
      </c>
    </row>
    <row r="211" spans="1:5" ht="25.5" x14ac:dyDescent="0.2">
      <c r="A211" s="578" t="s">
        <v>514</v>
      </c>
      <c r="B211" s="579" t="s">
        <v>489</v>
      </c>
      <c r="C211" s="580">
        <v>0</v>
      </c>
      <c r="D211" s="580">
        <v>0</v>
      </c>
      <c r="E211" s="580">
        <v>0</v>
      </c>
    </row>
    <row r="212" spans="1:5" ht="25.5" x14ac:dyDescent="0.2">
      <c r="A212" s="578" t="s">
        <v>516</v>
      </c>
      <c r="B212" s="579" t="s">
        <v>491</v>
      </c>
      <c r="C212" s="580">
        <v>0</v>
      </c>
      <c r="D212" s="580">
        <v>0</v>
      </c>
      <c r="E212" s="580">
        <v>0</v>
      </c>
    </row>
    <row r="213" spans="1:5" ht="25.5" x14ac:dyDescent="0.2">
      <c r="A213" s="578" t="s">
        <v>518</v>
      </c>
      <c r="B213" s="579" t="s">
        <v>493</v>
      </c>
      <c r="C213" s="580">
        <v>0</v>
      </c>
      <c r="D213" s="580">
        <v>0</v>
      </c>
      <c r="E213" s="580">
        <v>0</v>
      </c>
    </row>
    <row r="214" spans="1:5" x14ac:dyDescent="0.2">
      <c r="A214" s="578" t="s">
        <v>520</v>
      </c>
      <c r="B214" s="579" t="s">
        <v>495</v>
      </c>
      <c r="C214" s="580">
        <v>0</v>
      </c>
      <c r="D214" s="580">
        <v>0</v>
      </c>
      <c r="E214" s="580">
        <v>0</v>
      </c>
    </row>
    <row r="215" spans="1:5" x14ac:dyDescent="0.2">
      <c r="A215" s="581" t="s">
        <v>522</v>
      </c>
      <c r="B215" s="582" t="s">
        <v>497</v>
      </c>
      <c r="C215" s="583">
        <v>2295042</v>
      </c>
      <c r="D215" s="583">
        <v>0</v>
      </c>
      <c r="E215" s="583">
        <v>14345504</v>
      </c>
    </row>
    <row r="216" spans="1:5" x14ac:dyDescent="0.2">
      <c r="A216" s="578" t="s">
        <v>523</v>
      </c>
      <c r="B216" s="579" t="s">
        <v>499</v>
      </c>
      <c r="C216" s="580">
        <v>0</v>
      </c>
      <c r="D216" s="580">
        <v>0</v>
      </c>
      <c r="E216" s="580">
        <v>0</v>
      </c>
    </row>
    <row r="217" spans="1:5" ht="25.5" x14ac:dyDescent="0.2">
      <c r="A217" s="578" t="s">
        <v>525</v>
      </c>
      <c r="B217" s="579" t="s">
        <v>501</v>
      </c>
      <c r="C217" s="580">
        <v>0</v>
      </c>
      <c r="D217" s="580">
        <v>0</v>
      </c>
      <c r="E217" s="580">
        <v>0</v>
      </c>
    </row>
    <row r="218" spans="1:5" x14ac:dyDescent="0.2">
      <c r="A218" s="578" t="s">
        <v>527</v>
      </c>
      <c r="B218" s="579" t="s">
        <v>503</v>
      </c>
      <c r="C218" s="580">
        <v>16726548</v>
      </c>
      <c r="D218" s="580">
        <v>0</v>
      </c>
      <c r="E218" s="580">
        <v>17698787</v>
      </c>
    </row>
    <row r="219" spans="1:5" ht="25.5" x14ac:dyDescent="0.2">
      <c r="A219" s="578" t="s">
        <v>529</v>
      </c>
      <c r="B219" s="579" t="s">
        <v>505</v>
      </c>
      <c r="C219" s="580">
        <v>3155</v>
      </c>
      <c r="D219" s="580">
        <v>0</v>
      </c>
      <c r="E219" s="580">
        <v>0</v>
      </c>
    </row>
    <row r="220" spans="1:5" ht="25.5" x14ac:dyDescent="0.2">
      <c r="A220" s="578" t="s">
        <v>531</v>
      </c>
      <c r="B220" s="579" t="s">
        <v>507</v>
      </c>
      <c r="C220" s="580">
        <v>0</v>
      </c>
      <c r="D220" s="580">
        <v>0</v>
      </c>
      <c r="E220" s="580">
        <v>0</v>
      </c>
    </row>
    <row r="221" spans="1:5" ht="25.5" x14ac:dyDescent="0.2">
      <c r="A221" s="578" t="s">
        <v>532</v>
      </c>
      <c r="B221" s="579" t="s">
        <v>509</v>
      </c>
      <c r="C221" s="580">
        <v>0</v>
      </c>
      <c r="D221" s="580">
        <v>0</v>
      </c>
      <c r="E221" s="580">
        <v>0</v>
      </c>
    </row>
    <row r="222" spans="1:5" ht="25.5" x14ac:dyDescent="0.2">
      <c r="A222" s="578" t="s">
        <v>533</v>
      </c>
      <c r="B222" s="579" t="s">
        <v>511</v>
      </c>
      <c r="C222" s="580">
        <v>0</v>
      </c>
      <c r="D222" s="580">
        <v>0</v>
      </c>
      <c r="E222" s="580">
        <v>0</v>
      </c>
    </row>
    <row r="223" spans="1:5" x14ac:dyDescent="0.2">
      <c r="A223" s="578" t="s">
        <v>534</v>
      </c>
      <c r="B223" s="579" t="s">
        <v>513</v>
      </c>
      <c r="C223" s="580">
        <v>0</v>
      </c>
      <c r="D223" s="580">
        <v>0</v>
      </c>
      <c r="E223" s="580">
        <v>0</v>
      </c>
    </row>
    <row r="224" spans="1:5" x14ac:dyDescent="0.2">
      <c r="A224" s="578" t="s">
        <v>535</v>
      </c>
      <c r="B224" s="579" t="s">
        <v>515</v>
      </c>
      <c r="C224" s="580">
        <v>0</v>
      </c>
      <c r="D224" s="580">
        <v>0</v>
      </c>
      <c r="E224" s="580">
        <v>0</v>
      </c>
    </row>
    <row r="225" spans="1:5" ht="25.5" x14ac:dyDescent="0.2">
      <c r="A225" s="578" t="s">
        <v>536</v>
      </c>
      <c r="B225" s="579" t="s">
        <v>517</v>
      </c>
      <c r="C225" s="580">
        <v>0</v>
      </c>
      <c r="D225" s="580">
        <v>0</v>
      </c>
      <c r="E225" s="580">
        <v>0</v>
      </c>
    </row>
    <row r="226" spans="1:5" ht="25.5" x14ac:dyDescent="0.2">
      <c r="A226" s="578" t="s">
        <v>538</v>
      </c>
      <c r="B226" s="579" t="s">
        <v>519</v>
      </c>
      <c r="C226" s="580">
        <v>0</v>
      </c>
      <c r="D226" s="580">
        <v>0</v>
      </c>
      <c r="E226" s="580">
        <v>0</v>
      </c>
    </row>
    <row r="227" spans="1:5" ht="25.5" x14ac:dyDescent="0.2">
      <c r="A227" s="578" t="s">
        <v>539</v>
      </c>
      <c r="B227" s="579" t="s">
        <v>521</v>
      </c>
      <c r="C227" s="580">
        <v>0</v>
      </c>
      <c r="D227" s="580">
        <v>0</v>
      </c>
      <c r="E227" s="580">
        <v>0</v>
      </c>
    </row>
    <row r="228" spans="1:5" ht="25.5" x14ac:dyDescent="0.2">
      <c r="A228" s="578" t="s">
        <v>540</v>
      </c>
      <c r="B228" s="579" t="s">
        <v>1333</v>
      </c>
      <c r="C228" s="580">
        <v>605077799</v>
      </c>
      <c r="D228" s="580">
        <v>0</v>
      </c>
      <c r="E228" s="580">
        <v>606987149</v>
      </c>
    </row>
    <row r="229" spans="1:5" ht="25.5" x14ac:dyDescent="0.2">
      <c r="A229" s="578" t="s">
        <v>541</v>
      </c>
      <c r="B229" s="579" t="s">
        <v>524</v>
      </c>
      <c r="C229" s="580">
        <v>584776429</v>
      </c>
      <c r="D229" s="580">
        <v>0</v>
      </c>
      <c r="E229" s="580">
        <v>584776429</v>
      </c>
    </row>
    <row r="230" spans="1:5" ht="25.5" x14ac:dyDescent="0.2">
      <c r="A230" s="578" t="s">
        <v>542</v>
      </c>
      <c r="B230" s="579" t="s">
        <v>526</v>
      </c>
      <c r="C230" s="580">
        <v>0</v>
      </c>
      <c r="D230" s="580">
        <v>0</v>
      </c>
      <c r="E230" s="580">
        <v>0</v>
      </c>
    </row>
    <row r="231" spans="1:5" ht="25.5" x14ac:dyDescent="0.2">
      <c r="A231" s="578" t="s">
        <v>544</v>
      </c>
      <c r="B231" s="579" t="s">
        <v>528</v>
      </c>
      <c r="C231" s="580">
        <v>0</v>
      </c>
      <c r="D231" s="580">
        <v>0</v>
      </c>
      <c r="E231" s="580">
        <v>0</v>
      </c>
    </row>
    <row r="232" spans="1:5" ht="25.5" x14ac:dyDescent="0.2">
      <c r="A232" s="578" t="s">
        <v>546</v>
      </c>
      <c r="B232" s="579" t="s">
        <v>530</v>
      </c>
      <c r="C232" s="580">
        <v>0</v>
      </c>
      <c r="D232" s="580">
        <v>0</v>
      </c>
      <c r="E232" s="580">
        <v>0</v>
      </c>
    </row>
    <row r="233" spans="1:5" ht="25.5" x14ac:dyDescent="0.2">
      <c r="A233" s="578" t="s">
        <v>548</v>
      </c>
      <c r="B233" s="579" t="s">
        <v>1334</v>
      </c>
      <c r="C233" s="580">
        <v>20301370</v>
      </c>
      <c r="D233" s="580">
        <v>0</v>
      </c>
      <c r="E233" s="580">
        <v>22210720</v>
      </c>
    </row>
    <row r="234" spans="1:5" ht="25.5" x14ac:dyDescent="0.2">
      <c r="A234" s="578" t="s">
        <v>549</v>
      </c>
      <c r="B234" s="579" t="s">
        <v>1335</v>
      </c>
      <c r="C234" s="580">
        <v>0</v>
      </c>
      <c r="D234" s="580">
        <v>0</v>
      </c>
      <c r="E234" s="580">
        <v>0</v>
      </c>
    </row>
    <row r="235" spans="1:5" ht="25.5" x14ac:dyDescent="0.2">
      <c r="A235" s="578" t="s">
        <v>551</v>
      </c>
      <c r="B235" s="579" t="s">
        <v>1336</v>
      </c>
      <c r="C235" s="580">
        <v>0</v>
      </c>
      <c r="D235" s="580">
        <v>0</v>
      </c>
      <c r="E235" s="580">
        <v>0</v>
      </c>
    </row>
    <row r="236" spans="1:5" ht="25.5" x14ac:dyDescent="0.2">
      <c r="A236" s="578" t="s">
        <v>553</v>
      </c>
      <c r="B236" s="579" t="s">
        <v>1337</v>
      </c>
      <c r="C236" s="580">
        <v>0</v>
      </c>
      <c r="D236" s="580">
        <v>0</v>
      </c>
      <c r="E236" s="580">
        <v>0</v>
      </c>
    </row>
    <row r="237" spans="1:5" ht="25.5" x14ac:dyDescent="0.2">
      <c r="A237" s="578" t="s">
        <v>555</v>
      </c>
      <c r="B237" s="579" t="s">
        <v>1338</v>
      </c>
      <c r="C237" s="580">
        <v>0</v>
      </c>
      <c r="D237" s="580">
        <v>0</v>
      </c>
      <c r="E237" s="580">
        <v>0</v>
      </c>
    </row>
    <row r="238" spans="1:5" x14ac:dyDescent="0.2">
      <c r="A238" s="578" t="s">
        <v>557</v>
      </c>
      <c r="B238" s="579" t="s">
        <v>1339</v>
      </c>
      <c r="C238" s="580">
        <v>0</v>
      </c>
      <c r="D238" s="580">
        <v>0</v>
      </c>
      <c r="E238" s="580">
        <v>0</v>
      </c>
    </row>
    <row r="239" spans="1:5" x14ac:dyDescent="0.2">
      <c r="A239" s="581" t="s">
        <v>559</v>
      </c>
      <c r="B239" s="582" t="s">
        <v>537</v>
      </c>
      <c r="C239" s="583">
        <v>621807502</v>
      </c>
      <c r="D239" s="583">
        <v>0</v>
      </c>
      <c r="E239" s="583">
        <v>624685936</v>
      </c>
    </row>
    <row r="240" spans="1:5" x14ac:dyDescent="0.2">
      <c r="A240" s="578" t="s">
        <v>561</v>
      </c>
      <c r="B240" s="579" t="s">
        <v>1340</v>
      </c>
      <c r="C240" s="580">
        <v>85214650</v>
      </c>
      <c r="D240" s="580">
        <v>0</v>
      </c>
      <c r="E240" s="580">
        <v>3416089</v>
      </c>
    </row>
    <row r="241" spans="1:5" x14ac:dyDescent="0.2">
      <c r="A241" s="578" t="s">
        <v>563</v>
      </c>
      <c r="B241" s="579" t="s">
        <v>543</v>
      </c>
      <c r="C241" s="580">
        <v>0</v>
      </c>
      <c r="D241" s="580">
        <v>0</v>
      </c>
      <c r="E241" s="580">
        <v>0</v>
      </c>
    </row>
    <row r="242" spans="1:5" x14ac:dyDescent="0.2">
      <c r="A242" s="578" t="s">
        <v>565</v>
      </c>
      <c r="B242" s="579" t="s">
        <v>545</v>
      </c>
      <c r="C242" s="580">
        <v>1581715</v>
      </c>
      <c r="D242" s="580">
        <v>0</v>
      </c>
      <c r="E242" s="580">
        <v>3314221</v>
      </c>
    </row>
    <row r="243" spans="1:5" x14ac:dyDescent="0.2">
      <c r="A243" s="578" t="s">
        <v>567</v>
      </c>
      <c r="B243" s="579" t="s">
        <v>547</v>
      </c>
      <c r="C243" s="580">
        <v>0</v>
      </c>
      <c r="D243" s="580">
        <v>0</v>
      </c>
      <c r="E243" s="580">
        <v>0</v>
      </c>
    </row>
    <row r="244" spans="1:5" ht="25.5" x14ac:dyDescent="0.2">
      <c r="A244" s="578" t="s">
        <v>569</v>
      </c>
      <c r="B244" s="579" t="s">
        <v>1341</v>
      </c>
      <c r="C244" s="580">
        <v>0</v>
      </c>
      <c r="D244" s="580">
        <v>0</v>
      </c>
      <c r="E244" s="580">
        <v>0</v>
      </c>
    </row>
    <row r="245" spans="1:5" ht="25.5" x14ac:dyDescent="0.2">
      <c r="A245" s="578" t="s">
        <v>571</v>
      </c>
      <c r="B245" s="579" t="s">
        <v>550</v>
      </c>
      <c r="C245" s="580">
        <v>0</v>
      </c>
      <c r="D245" s="580">
        <v>0</v>
      </c>
      <c r="E245" s="580">
        <v>0</v>
      </c>
    </row>
    <row r="246" spans="1:5" ht="25.5" x14ac:dyDescent="0.2">
      <c r="A246" s="578" t="s">
        <v>573</v>
      </c>
      <c r="B246" s="579" t="s">
        <v>552</v>
      </c>
      <c r="C246" s="580">
        <v>0</v>
      </c>
      <c r="D246" s="580">
        <v>0</v>
      </c>
      <c r="E246" s="580">
        <v>0</v>
      </c>
    </row>
    <row r="247" spans="1:5" x14ac:dyDescent="0.2">
      <c r="A247" s="578" t="s">
        <v>1342</v>
      </c>
      <c r="B247" s="579" t="s">
        <v>554</v>
      </c>
      <c r="C247" s="580">
        <v>1612273</v>
      </c>
      <c r="D247" s="580">
        <v>0</v>
      </c>
      <c r="E247" s="580">
        <v>1586850</v>
      </c>
    </row>
    <row r="248" spans="1:5" x14ac:dyDescent="0.2">
      <c r="A248" s="578" t="s">
        <v>1343</v>
      </c>
      <c r="B248" s="579" t="s">
        <v>556</v>
      </c>
      <c r="C248" s="580">
        <v>0</v>
      </c>
      <c r="D248" s="580">
        <v>0</v>
      </c>
      <c r="E248" s="580">
        <v>0</v>
      </c>
    </row>
    <row r="249" spans="1:5" x14ac:dyDescent="0.2">
      <c r="A249" s="578" t="s">
        <v>1344</v>
      </c>
      <c r="B249" s="579" t="s">
        <v>558</v>
      </c>
      <c r="C249" s="580">
        <v>0</v>
      </c>
      <c r="D249" s="580">
        <v>0</v>
      </c>
      <c r="E249" s="580">
        <v>0</v>
      </c>
    </row>
    <row r="250" spans="1:5" x14ac:dyDescent="0.2">
      <c r="A250" s="581" t="s">
        <v>1345</v>
      </c>
      <c r="B250" s="582" t="s">
        <v>560</v>
      </c>
      <c r="C250" s="583">
        <v>88408638</v>
      </c>
      <c r="D250" s="583">
        <v>0</v>
      </c>
      <c r="E250" s="583">
        <v>8317160</v>
      </c>
    </row>
    <row r="251" spans="1:5" x14ac:dyDescent="0.2">
      <c r="A251" s="581" t="s">
        <v>1346</v>
      </c>
      <c r="B251" s="582" t="s">
        <v>562</v>
      </c>
      <c r="C251" s="583">
        <v>712511182</v>
      </c>
      <c r="D251" s="583">
        <v>0</v>
      </c>
      <c r="E251" s="583">
        <v>647348600</v>
      </c>
    </row>
    <row r="252" spans="1:5" x14ac:dyDescent="0.2">
      <c r="A252" s="581" t="s">
        <v>1347</v>
      </c>
      <c r="B252" s="582" t="s">
        <v>564</v>
      </c>
      <c r="C252" s="583">
        <v>0</v>
      </c>
      <c r="D252" s="583">
        <v>0</v>
      </c>
      <c r="E252" s="583">
        <v>0</v>
      </c>
    </row>
    <row r="253" spans="1:5" x14ac:dyDescent="0.2">
      <c r="A253" s="578" t="s">
        <v>1348</v>
      </c>
      <c r="B253" s="579" t="s">
        <v>566</v>
      </c>
      <c r="C253" s="580">
        <v>0</v>
      </c>
      <c r="D253" s="580">
        <v>0</v>
      </c>
      <c r="E253" s="580">
        <v>0</v>
      </c>
    </row>
    <row r="254" spans="1:5" x14ac:dyDescent="0.2">
      <c r="A254" s="578" t="s">
        <v>1349</v>
      </c>
      <c r="B254" s="579" t="s">
        <v>568</v>
      </c>
      <c r="C254" s="580">
        <v>104656334</v>
      </c>
      <c r="D254" s="580">
        <v>0</v>
      </c>
      <c r="E254" s="580">
        <v>108399900</v>
      </c>
    </row>
    <row r="255" spans="1:5" x14ac:dyDescent="0.2">
      <c r="A255" s="578" t="s">
        <v>1350</v>
      </c>
      <c r="B255" s="579" t="s">
        <v>570</v>
      </c>
      <c r="C255" s="580">
        <v>178297041</v>
      </c>
      <c r="D255" s="580">
        <v>0</v>
      </c>
      <c r="E255" s="580">
        <v>193610567</v>
      </c>
    </row>
    <row r="256" spans="1:5" x14ac:dyDescent="0.2">
      <c r="A256" s="581" t="s">
        <v>1351</v>
      </c>
      <c r="B256" s="582" t="s">
        <v>572</v>
      </c>
      <c r="C256" s="583">
        <v>282953375</v>
      </c>
      <c r="D256" s="583">
        <v>0</v>
      </c>
      <c r="E256" s="583">
        <v>302010467</v>
      </c>
    </row>
    <row r="257" spans="1:5" x14ac:dyDescent="0.2">
      <c r="A257" s="581" t="s">
        <v>1352</v>
      </c>
      <c r="B257" s="582" t="s">
        <v>574</v>
      </c>
      <c r="C257" s="583">
        <v>22492064040</v>
      </c>
      <c r="D257" s="583">
        <v>0</v>
      </c>
      <c r="E257" s="583">
        <v>23115902569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scale="59" orientation="portrait" horizontalDpi="300" verticalDpi="300" r:id="rId1"/>
  <headerFooter alignWithMargins="0">
    <oddHeader>&amp;CDunaharaszti Város Önkormányzat 2016. évi zárszámadás ( Ft-ban )&amp;R&amp;A</oddHeader>
    <oddFooter>&amp;L&amp;P&amp;C&amp;P/&amp;N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="84" zoomScaleNormal="100" zoomScaleSheetLayoutView="84" workbookViewId="0">
      <selection activeCell="C12" sqref="C12"/>
    </sheetView>
  </sheetViews>
  <sheetFormatPr defaultRowHeight="12.75" x14ac:dyDescent="0.2"/>
  <cols>
    <col min="1" max="1" width="8.140625" style="113" customWidth="1"/>
    <col min="2" max="2" width="66.7109375" style="113" customWidth="1"/>
    <col min="3" max="5" width="27.140625" style="113" customWidth="1"/>
    <col min="6" max="256" width="9.140625" style="113"/>
    <col min="257" max="257" width="8.140625" style="113" customWidth="1"/>
    <col min="258" max="258" width="41" style="113" customWidth="1"/>
    <col min="259" max="261" width="32.85546875" style="113" customWidth="1"/>
    <col min="262" max="512" width="9.140625" style="113"/>
    <col min="513" max="513" width="8.140625" style="113" customWidth="1"/>
    <col min="514" max="514" width="41" style="113" customWidth="1"/>
    <col min="515" max="517" width="32.85546875" style="113" customWidth="1"/>
    <col min="518" max="768" width="9.140625" style="113"/>
    <col min="769" max="769" width="8.140625" style="113" customWidth="1"/>
    <col min="770" max="770" width="41" style="113" customWidth="1"/>
    <col min="771" max="773" width="32.85546875" style="113" customWidth="1"/>
    <col min="774" max="1024" width="9.140625" style="113"/>
    <col min="1025" max="1025" width="8.140625" style="113" customWidth="1"/>
    <col min="1026" max="1026" width="41" style="113" customWidth="1"/>
    <col min="1027" max="1029" width="32.85546875" style="113" customWidth="1"/>
    <col min="1030" max="1280" width="9.140625" style="113"/>
    <col min="1281" max="1281" width="8.140625" style="113" customWidth="1"/>
    <col min="1282" max="1282" width="41" style="113" customWidth="1"/>
    <col min="1283" max="1285" width="32.85546875" style="113" customWidth="1"/>
    <col min="1286" max="1536" width="9.140625" style="113"/>
    <col min="1537" max="1537" width="8.140625" style="113" customWidth="1"/>
    <col min="1538" max="1538" width="41" style="113" customWidth="1"/>
    <col min="1539" max="1541" width="32.85546875" style="113" customWidth="1"/>
    <col min="1542" max="1792" width="9.140625" style="113"/>
    <col min="1793" max="1793" width="8.140625" style="113" customWidth="1"/>
    <col min="1794" max="1794" width="41" style="113" customWidth="1"/>
    <col min="1795" max="1797" width="32.85546875" style="113" customWidth="1"/>
    <col min="1798" max="2048" width="9.140625" style="113"/>
    <col min="2049" max="2049" width="8.140625" style="113" customWidth="1"/>
    <col min="2050" max="2050" width="41" style="113" customWidth="1"/>
    <col min="2051" max="2053" width="32.85546875" style="113" customWidth="1"/>
    <col min="2054" max="2304" width="9.140625" style="113"/>
    <col min="2305" max="2305" width="8.140625" style="113" customWidth="1"/>
    <col min="2306" max="2306" width="41" style="113" customWidth="1"/>
    <col min="2307" max="2309" width="32.85546875" style="113" customWidth="1"/>
    <col min="2310" max="2560" width="9.140625" style="113"/>
    <col min="2561" max="2561" width="8.140625" style="113" customWidth="1"/>
    <col min="2562" max="2562" width="41" style="113" customWidth="1"/>
    <col min="2563" max="2565" width="32.85546875" style="113" customWidth="1"/>
    <col min="2566" max="2816" width="9.140625" style="113"/>
    <col min="2817" max="2817" width="8.140625" style="113" customWidth="1"/>
    <col min="2818" max="2818" width="41" style="113" customWidth="1"/>
    <col min="2819" max="2821" width="32.85546875" style="113" customWidth="1"/>
    <col min="2822" max="3072" width="9.140625" style="113"/>
    <col min="3073" max="3073" width="8.140625" style="113" customWidth="1"/>
    <col min="3074" max="3074" width="41" style="113" customWidth="1"/>
    <col min="3075" max="3077" width="32.85546875" style="113" customWidth="1"/>
    <col min="3078" max="3328" width="9.140625" style="113"/>
    <col min="3329" max="3329" width="8.140625" style="113" customWidth="1"/>
    <col min="3330" max="3330" width="41" style="113" customWidth="1"/>
    <col min="3331" max="3333" width="32.85546875" style="113" customWidth="1"/>
    <col min="3334" max="3584" width="9.140625" style="113"/>
    <col min="3585" max="3585" width="8.140625" style="113" customWidth="1"/>
    <col min="3586" max="3586" width="41" style="113" customWidth="1"/>
    <col min="3587" max="3589" width="32.85546875" style="113" customWidth="1"/>
    <col min="3590" max="3840" width="9.140625" style="113"/>
    <col min="3841" max="3841" width="8.140625" style="113" customWidth="1"/>
    <col min="3842" max="3842" width="41" style="113" customWidth="1"/>
    <col min="3843" max="3845" width="32.85546875" style="113" customWidth="1"/>
    <col min="3846" max="4096" width="9.140625" style="113"/>
    <col min="4097" max="4097" width="8.140625" style="113" customWidth="1"/>
    <col min="4098" max="4098" width="41" style="113" customWidth="1"/>
    <col min="4099" max="4101" width="32.85546875" style="113" customWidth="1"/>
    <col min="4102" max="4352" width="9.140625" style="113"/>
    <col min="4353" max="4353" width="8.140625" style="113" customWidth="1"/>
    <col min="4354" max="4354" width="41" style="113" customWidth="1"/>
    <col min="4355" max="4357" width="32.85546875" style="113" customWidth="1"/>
    <col min="4358" max="4608" width="9.140625" style="113"/>
    <col min="4609" max="4609" width="8.140625" style="113" customWidth="1"/>
    <col min="4610" max="4610" width="41" style="113" customWidth="1"/>
    <col min="4611" max="4613" width="32.85546875" style="113" customWidth="1"/>
    <col min="4614" max="4864" width="9.140625" style="113"/>
    <col min="4865" max="4865" width="8.140625" style="113" customWidth="1"/>
    <col min="4866" max="4866" width="41" style="113" customWidth="1"/>
    <col min="4867" max="4869" width="32.85546875" style="113" customWidth="1"/>
    <col min="4870" max="5120" width="9.140625" style="113"/>
    <col min="5121" max="5121" width="8.140625" style="113" customWidth="1"/>
    <col min="5122" max="5122" width="41" style="113" customWidth="1"/>
    <col min="5123" max="5125" width="32.85546875" style="113" customWidth="1"/>
    <col min="5126" max="5376" width="9.140625" style="113"/>
    <col min="5377" max="5377" width="8.140625" style="113" customWidth="1"/>
    <col min="5378" max="5378" width="41" style="113" customWidth="1"/>
    <col min="5379" max="5381" width="32.85546875" style="113" customWidth="1"/>
    <col min="5382" max="5632" width="9.140625" style="113"/>
    <col min="5633" max="5633" width="8.140625" style="113" customWidth="1"/>
    <col min="5634" max="5634" width="41" style="113" customWidth="1"/>
    <col min="5635" max="5637" width="32.85546875" style="113" customWidth="1"/>
    <col min="5638" max="5888" width="9.140625" style="113"/>
    <col min="5889" max="5889" width="8.140625" style="113" customWidth="1"/>
    <col min="5890" max="5890" width="41" style="113" customWidth="1"/>
    <col min="5891" max="5893" width="32.85546875" style="113" customWidth="1"/>
    <col min="5894" max="6144" width="9.140625" style="113"/>
    <col min="6145" max="6145" width="8.140625" style="113" customWidth="1"/>
    <col min="6146" max="6146" width="41" style="113" customWidth="1"/>
    <col min="6147" max="6149" width="32.85546875" style="113" customWidth="1"/>
    <col min="6150" max="6400" width="9.140625" style="113"/>
    <col min="6401" max="6401" width="8.140625" style="113" customWidth="1"/>
    <col min="6402" max="6402" width="41" style="113" customWidth="1"/>
    <col min="6403" max="6405" width="32.85546875" style="113" customWidth="1"/>
    <col min="6406" max="6656" width="9.140625" style="113"/>
    <col min="6657" max="6657" width="8.140625" style="113" customWidth="1"/>
    <col min="6658" max="6658" width="41" style="113" customWidth="1"/>
    <col min="6659" max="6661" width="32.85546875" style="113" customWidth="1"/>
    <col min="6662" max="6912" width="9.140625" style="113"/>
    <col min="6913" max="6913" width="8.140625" style="113" customWidth="1"/>
    <col min="6914" max="6914" width="41" style="113" customWidth="1"/>
    <col min="6915" max="6917" width="32.85546875" style="113" customWidth="1"/>
    <col min="6918" max="7168" width="9.140625" style="113"/>
    <col min="7169" max="7169" width="8.140625" style="113" customWidth="1"/>
    <col min="7170" max="7170" width="41" style="113" customWidth="1"/>
    <col min="7171" max="7173" width="32.85546875" style="113" customWidth="1"/>
    <col min="7174" max="7424" width="9.140625" style="113"/>
    <col min="7425" max="7425" width="8.140625" style="113" customWidth="1"/>
    <col min="7426" max="7426" width="41" style="113" customWidth="1"/>
    <col min="7427" max="7429" width="32.85546875" style="113" customWidth="1"/>
    <col min="7430" max="7680" width="9.140625" style="113"/>
    <col min="7681" max="7681" width="8.140625" style="113" customWidth="1"/>
    <col min="7682" max="7682" width="41" style="113" customWidth="1"/>
    <col min="7683" max="7685" width="32.85546875" style="113" customWidth="1"/>
    <col min="7686" max="7936" width="9.140625" style="113"/>
    <col min="7937" max="7937" width="8.140625" style="113" customWidth="1"/>
    <col min="7938" max="7938" width="41" style="113" customWidth="1"/>
    <col min="7939" max="7941" width="32.85546875" style="113" customWidth="1"/>
    <col min="7942" max="8192" width="9.140625" style="113"/>
    <col min="8193" max="8193" width="8.140625" style="113" customWidth="1"/>
    <col min="8194" max="8194" width="41" style="113" customWidth="1"/>
    <col min="8195" max="8197" width="32.85546875" style="113" customWidth="1"/>
    <col min="8198" max="8448" width="9.140625" style="113"/>
    <col min="8449" max="8449" width="8.140625" style="113" customWidth="1"/>
    <col min="8450" max="8450" width="41" style="113" customWidth="1"/>
    <col min="8451" max="8453" width="32.85546875" style="113" customWidth="1"/>
    <col min="8454" max="8704" width="9.140625" style="113"/>
    <col min="8705" max="8705" width="8.140625" style="113" customWidth="1"/>
    <col min="8706" max="8706" width="41" style="113" customWidth="1"/>
    <col min="8707" max="8709" width="32.85546875" style="113" customWidth="1"/>
    <col min="8710" max="8960" width="9.140625" style="113"/>
    <col min="8961" max="8961" width="8.140625" style="113" customWidth="1"/>
    <col min="8962" max="8962" width="41" style="113" customWidth="1"/>
    <col min="8963" max="8965" width="32.85546875" style="113" customWidth="1"/>
    <col min="8966" max="9216" width="9.140625" style="113"/>
    <col min="9217" max="9217" width="8.140625" style="113" customWidth="1"/>
    <col min="9218" max="9218" width="41" style="113" customWidth="1"/>
    <col min="9219" max="9221" width="32.85546875" style="113" customWidth="1"/>
    <col min="9222" max="9472" width="9.140625" style="113"/>
    <col min="9473" max="9473" width="8.140625" style="113" customWidth="1"/>
    <col min="9474" max="9474" width="41" style="113" customWidth="1"/>
    <col min="9475" max="9477" width="32.85546875" style="113" customWidth="1"/>
    <col min="9478" max="9728" width="9.140625" style="113"/>
    <col min="9729" max="9729" width="8.140625" style="113" customWidth="1"/>
    <col min="9730" max="9730" width="41" style="113" customWidth="1"/>
    <col min="9731" max="9733" width="32.85546875" style="113" customWidth="1"/>
    <col min="9734" max="9984" width="9.140625" style="113"/>
    <col min="9985" max="9985" width="8.140625" style="113" customWidth="1"/>
    <col min="9986" max="9986" width="41" style="113" customWidth="1"/>
    <col min="9987" max="9989" width="32.85546875" style="113" customWidth="1"/>
    <col min="9990" max="10240" width="9.140625" style="113"/>
    <col min="10241" max="10241" width="8.140625" style="113" customWidth="1"/>
    <col min="10242" max="10242" width="41" style="113" customWidth="1"/>
    <col min="10243" max="10245" width="32.85546875" style="113" customWidth="1"/>
    <col min="10246" max="10496" width="9.140625" style="113"/>
    <col min="10497" max="10497" width="8.140625" style="113" customWidth="1"/>
    <col min="10498" max="10498" width="41" style="113" customWidth="1"/>
    <col min="10499" max="10501" width="32.85546875" style="113" customWidth="1"/>
    <col min="10502" max="10752" width="9.140625" style="113"/>
    <col min="10753" max="10753" width="8.140625" style="113" customWidth="1"/>
    <col min="10754" max="10754" width="41" style="113" customWidth="1"/>
    <col min="10755" max="10757" width="32.85546875" style="113" customWidth="1"/>
    <col min="10758" max="11008" width="9.140625" style="113"/>
    <col min="11009" max="11009" width="8.140625" style="113" customWidth="1"/>
    <col min="11010" max="11010" width="41" style="113" customWidth="1"/>
    <col min="11011" max="11013" width="32.85546875" style="113" customWidth="1"/>
    <col min="11014" max="11264" width="9.140625" style="113"/>
    <col min="11265" max="11265" width="8.140625" style="113" customWidth="1"/>
    <col min="11266" max="11266" width="41" style="113" customWidth="1"/>
    <col min="11267" max="11269" width="32.85546875" style="113" customWidth="1"/>
    <col min="11270" max="11520" width="9.140625" style="113"/>
    <col min="11521" max="11521" width="8.140625" style="113" customWidth="1"/>
    <col min="11522" max="11522" width="41" style="113" customWidth="1"/>
    <col min="11523" max="11525" width="32.85546875" style="113" customWidth="1"/>
    <col min="11526" max="11776" width="9.140625" style="113"/>
    <col min="11777" max="11777" width="8.140625" style="113" customWidth="1"/>
    <col min="11778" max="11778" width="41" style="113" customWidth="1"/>
    <col min="11779" max="11781" width="32.85546875" style="113" customWidth="1"/>
    <col min="11782" max="12032" width="9.140625" style="113"/>
    <col min="12033" max="12033" width="8.140625" style="113" customWidth="1"/>
    <col min="12034" max="12034" width="41" style="113" customWidth="1"/>
    <col min="12035" max="12037" width="32.85546875" style="113" customWidth="1"/>
    <col min="12038" max="12288" width="9.140625" style="113"/>
    <col min="12289" max="12289" width="8.140625" style="113" customWidth="1"/>
    <col min="12290" max="12290" width="41" style="113" customWidth="1"/>
    <col min="12291" max="12293" width="32.85546875" style="113" customWidth="1"/>
    <col min="12294" max="12544" width="9.140625" style="113"/>
    <col min="12545" max="12545" width="8.140625" style="113" customWidth="1"/>
    <col min="12546" max="12546" width="41" style="113" customWidth="1"/>
    <col min="12547" max="12549" width="32.85546875" style="113" customWidth="1"/>
    <col min="12550" max="12800" width="9.140625" style="113"/>
    <col min="12801" max="12801" width="8.140625" style="113" customWidth="1"/>
    <col min="12802" max="12802" width="41" style="113" customWidth="1"/>
    <col min="12803" max="12805" width="32.85546875" style="113" customWidth="1"/>
    <col min="12806" max="13056" width="9.140625" style="113"/>
    <col min="13057" max="13057" width="8.140625" style="113" customWidth="1"/>
    <col min="13058" max="13058" width="41" style="113" customWidth="1"/>
    <col min="13059" max="13061" width="32.85546875" style="113" customWidth="1"/>
    <col min="13062" max="13312" width="9.140625" style="113"/>
    <col min="13313" max="13313" width="8.140625" style="113" customWidth="1"/>
    <col min="13314" max="13314" width="41" style="113" customWidth="1"/>
    <col min="13315" max="13317" width="32.85546875" style="113" customWidth="1"/>
    <col min="13318" max="13568" width="9.140625" style="113"/>
    <col min="13569" max="13569" width="8.140625" style="113" customWidth="1"/>
    <col min="13570" max="13570" width="41" style="113" customWidth="1"/>
    <col min="13571" max="13573" width="32.85546875" style="113" customWidth="1"/>
    <col min="13574" max="13824" width="9.140625" style="113"/>
    <col min="13825" max="13825" width="8.140625" style="113" customWidth="1"/>
    <col min="13826" max="13826" width="41" style="113" customWidth="1"/>
    <col min="13827" max="13829" width="32.85546875" style="113" customWidth="1"/>
    <col min="13830" max="14080" width="9.140625" style="113"/>
    <col min="14081" max="14081" width="8.140625" style="113" customWidth="1"/>
    <col min="14082" max="14082" width="41" style="113" customWidth="1"/>
    <col min="14083" max="14085" width="32.85546875" style="113" customWidth="1"/>
    <col min="14086" max="14336" width="9.140625" style="113"/>
    <col min="14337" max="14337" width="8.140625" style="113" customWidth="1"/>
    <col min="14338" max="14338" width="41" style="113" customWidth="1"/>
    <col min="14339" max="14341" width="32.85546875" style="113" customWidth="1"/>
    <col min="14342" max="14592" width="9.140625" style="113"/>
    <col min="14593" max="14593" width="8.140625" style="113" customWidth="1"/>
    <col min="14594" max="14594" width="41" style="113" customWidth="1"/>
    <col min="14595" max="14597" width="32.85546875" style="113" customWidth="1"/>
    <col min="14598" max="14848" width="9.140625" style="113"/>
    <col min="14849" max="14849" width="8.140625" style="113" customWidth="1"/>
    <col min="14850" max="14850" width="41" style="113" customWidth="1"/>
    <col min="14851" max="14853" width="32.85546875" style="113" customWidth="1"/>
    <col min="14854" max="15104" width="9.140625" style="113"/>
    <col min="15105" max="15105" width="8.140625" style="113" customWidth="1"/>
    <col min="15106" max="15106" width="41" style="113" customWidth="1"/>
    <col min="15107" max="15109" width="32.85546875" style="113" customWidth="1"/>
    <col min="15110" max="15360" width="9.140625" style="113"/>
    <col min="15361" max="15361" width="8.140625" style="113" customWidth="1"/>
    <col min="15362" max="15362" width="41" style="113" customWidth="1"/>
    <col min="15363" max="15365" width="32.85546875" style="113" customWidth="1"/>
    <col min="15366" max="15616" width="9.140625" style="113"/>
    <col min="15617" max="15617" width="8.140625" style="113" customWidth="1"/>
    <col min="15618" max="15618" width="41" style="113" customWidth="1"/>
    <col min="15619" max="15621" width="32.85546875" style="113" customWidth="1"/>
    <col min="15622" max="15872" width="9.140625" style="113"/>
    <col min="15873" max="15873" width="8.140625" style="113" customWidth="1"/>
    <col min="15874" max="15874" width="41" style="113" customWidth="1"/>
    <col min="15875" max="15877" width="32.85546875" style="113" customWidth="1"/>
    <col min="15878" max="16128" width="9.140625" style="113"/>
    <col min="16129" max="16129" width="8.140625" style="113" customWidth="1"/>
    <col min="16130" max="16130" width="41" style="113" customWidth="1"/>
    <col min="16131" max="16133" width="32.85546875" style="113" customWidth="1"/>
    <col min="16134" max="16384" width="9.140625" style="113"/>
  </cols>
  <sheetData>
    <row r="1" spans="1:5" ht="28.5" customHeight="1" x14ac:dyDescent="0.2">
      <c r="A1" s="871" t="s">
        <v>575</v>
      </c>
      <c r="B1" s="872"/>
      <c r="C1" s="872"/>
      <c r="D1" s="872"/>
      <c r="E1" s="873"/>
    </row>
    <row r="2" spans="1:5" ht="25.5" x14ac:dyDescent="0.2">
      <c r="A2" s="434" t="s">
        <v>70</v>
      </c>
      <c r="B2" s="427" t="s">
        <v>2</v>
      </c>
      <c r="C2" s="427" t="s">
        <v>108</v>
      </c>
      <c r="D2" s="427" t="s">
        <v>109</v>
      </c>
      <c r="E2" s="427" t="s">
        <v>110</v>
      </c>
    </row>
    <row r="3" spans="1:5" ht="15" x14ac:dyDescent="0.2">
      <c r="A3" s="427">
        <v>1</v>
      </c>
      <c r="B3" s="427">
        <v>2</v>
      </c>
      <c r="C3" s="427">
        <v>3</v>
      </c>
      <c r="D3" s="427">
        <v>4</v>
      </c>
      <c r="E3" s="427">
        <v>5</v>
      </c>
    </row>
    <row r="4" spans="1:5" ht="24.75" customHeight="1" x14ac:dyDescent="0.2">
      <c r="A4" s="435" t="s">
        <v>111</v>
      </c>
      <c r="B4" s="428" t="s">
        <v>1353</v>
      </c>
      <c r="C4" s="429">
        <v>2795222508</v>
      </c>
      <c r="D4" s="429">
        <v>0</v>
      </c>
      <c r="E4" s="429">
        <v>3236790321</v>
      </c>
    </row>
    <row r="5" spans="1:5" ht="24.75" customHeight="1" x14ac:dyDescent="0.2">
      <c r="A5" s="435" t="s">
        <v>113</v>
      </c>
      <c r="B5" s="428" t="s">
        <v>1354</v>
      </c>
      <c r="C5" s="429">
        <v>197513200</v>
      </c>
      <c r="D5" s="429">
        <v>0</v>
      </c>
      <c r="E5" s="429">
        <v>195977584</v>
      </c>
    </row>
    <row r="6" spans="1:5" ht="24.75" customHeight="1" x14ac:dyDescent="0.2">
      <c r="A6" s="435" t="s">
        <v>115</v>
      </c>
      <c r="B6" s="428" t="s">
        <v>1355</v>
      </c>
      <c r="C6" s="429">
        <v>117166972</v>
      </c>
      <c r="D6" s="429">
        <v>0</v>
      </c>
      <c r="E6" s="429">
        <v>131925213</v>
      </c>
    </row>
    <row r="7" spans="1:5" ht="24.75" customHeight="1" x14ac:dyDescent="0.2">
      <c r="A7" s="436" t="s">
        <v>117</v>
      </c>
      <c r="B7" s="430" t="s">
        <v>1356</v>
      </c>
      <c r="C7" s="431">
        <v>3109902680</v>
      </c>
      <c r="D7" s="431">
        <v>0</v>
      </c>
      <c r="E7" s="431">
        <v>3564693118</v>
      </c>
    </row>
    <row r="8" spans="1:5" ht="24.75" customHeight="1" x14ac:dyDescent="0.2">
      <c r="A8" s="435" t="s">
        <v>119</v>
      </c>
      <c r="B8" s="428" t="s">
        <v>1357</v>
      </c>
      <c r="C8" s="429">
        <v>0</v>
      </c>
      <c r="D8" s="429">
        <v>0</v>
      </c>
      <c r="E8" s="429">
        <v>0</v>
      </c>
    </row>
    <row r="9" spans="1:5" ht="24.75" customHeight="1" x14ac:dyDescent="0.2">
      <c r="A9" s="435" t="s">
        <v>121</v>
      </c>
      <c r="B9" s="428" t="s">
        <v>1358</v>
      </c>
      <c r="C9" s="429">
        <v>0</v>
      </c>
      <c r="D9" s="429">
        <v>0</v>
      </c>
      <c r="E9" s="429">
        <v>0</v>
      </c>
    </row>
    <row r="10" spans="1:5" ht="24.75" customHeight="1" x14ac:dyDescent="0.2">
      <c r="A10" s="436" t="s">
        <v>123</v>
      </c>
      <c r="B10" s="430" t="s">
        <v>1359</v>
      </c>
      <c r="C10" s="431">
        <v>0</v>
      </c>
      <c r="D10" s="431">
        <v>0</v>
      </c>
      <c r="E10" s="431">
        <v>0</v>
      </c>
    </row>
    <row r="11" spans="1:5" ht="24.75" customHeight="1" x14ac:dyDescent="0.2">
      <c r="A11" s="435" t="s">
        <v>125</v>
      </c>
      <c r="B11" s="428" t="s">
        <v>1360</v>
      </c>
      <c r="C11" s="429">
        <v>2356305705</v>
      </c>
      <c r="D11" s="429">
        <v>0</v>
      </c>
      <c r="E11" s="429">
        <v>2437879701</v>
      </c>
    </row>
    <row r="12" spans="1:5" ht="24.75" customHeight="1" x14ac:dyDescent="0.2">
      <c r="A12" s="435" t="s">
        <v>127</v>
      </c>
      <c r="B12" s="428" t="s">
        <v>1361</v>
      </c>
      <c r="C12" s="429">
        <v>70781001</v>
      </c>
      <c r="D12" s="429">
        <v>0</v>
      </c>
      <c r="E12" s="429">
        <v>73317092</v>
      </c>
    </row>
    <row r="13" spans="1:5" ht="24.75" customHeight="1" x14ac:dyDescent="0.2">
      <c r="A13" s="435" t="s">
        <v>129</v>
      </c>
      <c r="B13" s="428" t="s">
        <v>1362</v>
      </c>
      <c r="C13" s="429">
        <v>149279800</v>
      </c>
      <c r="D13" s="429">
        <v>0</v>
      </c>
      <c r="E13" s="429">
        <v>0</v>
      </c>
    </row>
    <row r="14" spans="1:5" ht="24.75" customHeight="1" x14ac:dyDescent="0.2">
      <c r="A14" s="435" t="s">
        <v>131</v>
      </c>
      <c r="B14" s="428" t="s">
        <v>1363</v>
      </c>
      <c r="C14" s="429">
        <v>94018275</v>
      </c>
      <c r="D14" s="429">
        <v>0</v>
      </c>
      <c r="E14" s="429">
        <v>136492652</v>
      </c>
    </row>
    <row r="15" spans="1:5" ht="24.75" customHeight="1" x14ac:dyDescent="0.2">
      <c r="A15" s="436" t="s">
        <v>133</v>
      </c>
      <c r="B15" s="430" t="s">
        <v>1364</v>
      </c>
      <c r="C15" s="431">
        <v>2670384781</v>
      </c>
      <c r="D15" s="431">
        <v>0</v>
      </c>
      <c r="E15" s="431">
        <v>2647689445</v>
      </c>
    </row>
    <row r="16" spans="1:5" ht="24.75" customHeight="1" x14ac:dyDescent="0.2">
      <c r="A16" s="435" t="s">
        <v>135</v>
      </c>
      <c r="B16" s="428" t="s">
        <v>1365</v>
      </c>
      <c r="C16" s="429">
        <v>212268881</v>
      </c>
      <c r="D16" s="429">
        <v>0</v>
      </c>
      <c r="E16" s="429">
        <v>153804098</v>
      </c>
    </row>
    <row r="17" spans="1:5" ht="24.75" customHeight="1" x14ac:dyDescent="0.2">
      <c r="A17" s="435" t="s">
        <v>137</v>
      </c>
      <c r="B17" s="428" t="s">
        <v>1366</v>
      </c>
      <c r="C17" s="429">
        <v>1194477406</v>
      </c>
      <c r="D17" s="429">
        <v>0</v>
      </c>
      <c r="E17" s="429">
        <v>1116367853</v>
      </c>
    </row>
    <row r="18" spans="1:5" ht="24.75" customHeight="1" x14ac:dyDescent="0.2">
      <c r="A18" s="435" t="s">
        <v>139</v>
      </c>
      <c r="B18" s="428" t="s">
        <v>1367</v>
      </c>
      <c r="C18" s="429">
        <v>518352</v>
      </c>
      <c r="D18" s="429">
        <v>0</v>
      </c>
      <c r="E18" s="429">
        <v>2938123</v>
      </c>
    </row>
    <row r="19" spans="1:5" ht="24.75" customHeight="1" x14ac:dyDescent="0.2">
      <c r="A19" s="435" t="s">
        <v>141</v>
      </c>
      <c r="B19" s="428" t="s">
        <v>1368</v>
      </c>
      <c r="C19" s="429">
        <v>20151233</v>
      </c>
      <c r="D19" s="429">
        <v>0</v>
      </c>
      <c r="E19" s="429">
        <v>29999756</v>
      </c>
    </row>
    <row r="20" spans="1:5" ht="24.75" customHeight="1" x14ac:dyDescent="0.2">
      <c r="A20" s="436" t="s">
        <v>143</v>
      </c>
      <c r="B20" s="430" t="s">
        <v>1369</v>
      </c>
      <c r="C20" s="431">
        <v>1427415872</v>
      </c>
      <c r="D20" s="431">
        <v>0</v>
      </c>
      <c r="E20" s="431">
        <v>1303109830</v>
      </c>
    </row>
    <row r="21" spans="1:5" ht="24.75" customHeight="1" x14ac:dyDescent="0.2">
      <c r="A21" s="435" t="s">
        <v>145</v>
      </c>
      <c r="B21" s="428" t="s">
        <v>1370</v>
      </c>
      <c r="C21" s="429">
        <v>887461033</v>
      </c>
      <c r="D21" s="429">
        <v>0</v>
      </c>
      <c r="E21" s="429">
        <v>904452416</v>
      </c>
    </row>
    <row r="22" spans="1:5" ht="24.75" customHeight="1" x14ac:dyDescent="0.2">
      <c r="A22" s="435" t="s">
        <v>147</v>
      </c>
      <c r="B22" s="428" t="s">
        <v>1371</v>
      </c>
      <c r="C22" s="429">
        <v>200961748</v>
      </c>
      <c r="D22" s="429">
        <v>0</v>
      </c>
      <c r="E22" s="429">
        <v>233153751</v>
      </c>
    </row>
    <row r="23" spans="1:5" ht="24.75" customHeight="1" x14ac:dyDescent="0.2">
      <c r="A23" s="435" t="s">
        <v>149</v>
      </c>
      <c r="B23" s="428" t="s">
        <v>1372</v>
      </c>
      <c r="C23" s="429">
        <v>307599046</v>
      </c>
      <c r="D23" s="429">
        <v>0</v>
      </c>
      <c r="E23" s="429">
        <v>319150127</v>
      </c>
    </row>
    <row r="24" spans="1:5" ht="24.75" customHeight="1" x14ac:dyDescent="0.2">
      <c r="A24" s="436" t="s">
        <v>151</v>
      </c>
      <c r="B24" s="430" t="s">
        <v>1373</v>
      </c>
      <c r="C24" s="431">
        <v>1396021827</v>
      </c>
      <c r="D24" s="431">
        <v>0</v>
      </c>
      <c r="E24" s="431">
        <v>1456756294</v>
      </c>
    </row>
    <row r="25" spans="1:5" ht="24.75" customHeight="1" x14ac:dyDescent="0.2">
      <c r="A25" s="436" t="s">
        <v>153</v>
      </c>
      <c r="B25" s="430" t="s">
        <v>1374</v>
      </c>
      <c r="C25" s="431">
        <v>620473769</v>
      </c>
      <c r="D25" s="431">
        <v>0</v>
      </c>
      <c r="E25" s="431">
        <v>534705486</v>
      </c>
    </row>
    <row r="26" spans="1:5" ht="24.75" customHeight="1" x14ac:dyDescent="0.2">
      <c r="A26" s="436" t="s">
        <v>155</v>
      </c>
      <c r="B26" s="430" t="s">
        <v>1375</v>
      </c>
      <c r="C26" s="431">
        <v>2549674275</v>
      </c>
      <c r="D26" s="431">
        <v>0</v>
      </c>
      <c r="E26" s="431">
        <v>2375256896</v>
      </c>
    </row>
    <row r="27" spans="1:5" ht="24.75" customHeight="1" x14ac:dyDescent="0.2">
      <c r="A27" s="436" t="s">
        <v>157</v>
      </c>
      <c r="B27" s="430" t="s">
        <v>1376</v>
      </c>
      <c r="C27" s="431">
        <v>-213298282</v>
      </c>
      <c r="D27" s="431">
        <v>0</v>
      </c>
      <c r="E27" s="431">
        <v>542554057</v>
      </c>
    </row>
    <row r="28" spans="1:5" ht="24.75" customHeight="1" x14ac:dyDescent="0.2">
      <c r="A28" s="435" t="s">
        <v>159</v>
      </c>
      <c r="B28" s="428" t="s">
        <v>1377</v>
      </c>
      <c r="C28" s="429">
        <v>0</v>
      </c>
      <c r="D28" s="429">
        <v>0</v>
      </c>
      <c r="E28" s="429">
        <v>0</v>
      </c>
    </row>
    <row r="29" spans="1:5" ht="24.75" customHeight="1" x14ac:dyDescent="0.2">
      <c r="A29" s="435" t="s">
        <v>161</v>
      </c>
      <c r="B29" s="428" t="s">
        <v>1378</v>
      </c>
      <c r="C29" s="429">
        <v>0</v>
      </c>
      <c r="D29" s="429">
        <v>0</v>
      </c>
      <c r="E29" s="429">
        <v>0</v>
      </c>
    </row>
    <row r="30" spans="1:5" ht="24.75" customHeight="1" x14ac:dyDescent="0.2">
      <c r="A30" s="435" t="s">
        <v>163</v>
      </c>
      <c r="B30" s="428" t="s">
        <v>1379</v>
      </c>
      <c r="C30" s="429">
        <v>0</v>
      </c>
      <c r="D30" s="429">
        <v>0</v>
      </c>
      <c r="E30" s="429">
        <v>0</v>
      </c>
    </row>
    <row r="31" spans="1:5" ht="24.75" customHeight="1" x14ac:dyDescent="0.2">
      <c r="A31" s="435" t="s">
        <v>165</v>
      </c>
      <c r="B31" s="428" t="s">
        <v>1380</v>
      </c>
      <c r="C31" s="429">
        <v>5965802</v>
      </c>
      <c r="D31" s="429">
        <v>0</v>
      </c>
      <c r="E31" s="429">
        <v>2051901</v>
      </c>
    </row>
    <row r="32" spans="1:5" ht="24.75" customHeight="1" x14ac:dyDescent="0.2">
      <c r="A32" s="435" t="s">
        <v>167</v>
      </c>
      <c r="B32" s="428" t="s">
        <v>1381</v>
      </c>
      <c r="C32" s="429">
        <v>0</v>
      </c>
      <c r="D32" s="429">
        <v>0</v>
      </c>
      <c r="E32" s="429">
        <v>5500000</v>
      </c>
    </row>
    <row r="33" spans="1:5" ht="24.75" customHeight="1" x14ac:dyDescent="0.2">
      <c r="A33" s="435" t="s">
        <v>169</v>
      </c>
      <c r="B33" s="428" t="s">
        <v>1382</v>
      </c>
      <c r="C33" s="429">
        <v>0</v>
      </c>
      <c r="D33" s="429">
        <v>0</v>
      </c>
      <c r="E33" s="429">
        <v>0</v>
      </c>
    </row>
    <row r="34" spans="1:5" ht="24.75" customHeight="1" x14ac:dyDescent="0.2">
      <c r="A34" s="435" t="s">
        <v>171</v>
      </c>
      <c r="B34" s="428" t="s">
        <v>1383</v>
      </c>
      <c r="C34" s="429">
        <v>0</v>
      </c>
      <c r="D34" s="429">
        <v>0</v>
      </c>
      <c r="E34" s="429">
        <v>0</v>
      </c>
    </row>
    <row r="35" spans="1:5" ht="24.75" customHeight="1" x14ac:dyDescent="0.2">
      <c r="A35" s="436" t="s">
        <v>173</v>
      </c>
      <c r="B35" s="430" t="s">
        <v>1384</v>
      </c>
      <c r="C35" s="431">
        <v>5965802</v>
      </c>
      <c r="D35" s="431">
        <v>0</v>
      </c>
      <c r="E35" s="431">
        <v>7551901</v>
      </c>
    </row>
    <row r="36" spans="1:5" ht="24.75" customHeight="1" x14ac:dyDescent="0.2">
      <c r="A36" s="435" t="s">
        <v>175</v>
      </c>
      <c r="B36" s="428" t="s">
        <v>1385</v>
      </c>
      <c r="C36" s="429">
        <v>0</v>
      </c>
      <c r="D36" s="429">
        <v>0</v>
      </c>
      <c r="E36" s="429">
        <v>0</v>
      </c>
    </row>
    <row r="37" spans="1:5" ht="24.75" customHeight="1" x14ac:dyDescent="0.2">
      <c r="A37" s="435" t="s">
        <v>177</v>
      </c>
      <c r="B37" s="428" t="s">
        <v>1386</v>
      </c>
      <c r="C37" s="429">
        <v>0</v>
      </c>
      <c r="D37" s="429">
        <v>0</v>
      </c>
      <c r="E37" s="429">
        <v>0</v>
      </c>
    </row>
    <row r="38" spans="1:5" ht="24.75" customHeight="1" x14ac:dyDescent="0.2">
      <c r="A38" s="435" t="s">
        <v>179</v>
      </c>
      <c r="B38" s="428" t="s">
        <v>1387</v>
      </c>
      <c r="C38" s="429">
        <v>22073280</v>
      </c>
      <c r="D38" s="429">
        <v>0</v>
      </c>
      <c r="E38" s="429">
        <v>22298013</v>
      </c>
    </row>
    <row r="39" spans="1:5" ht="24.75" customHeight="1" x14ac:dyDescent="0.2">
      <c r="A39" s="435" t="s">
        <v>181</v>
      </c>
      <c r="B39" s="428" t="s">
        <v>1388</v>
      </c>
      <c r="C39" s="429">
        <v>20880000</v>
      </c>
      <c r="D39" s="429">
        <v>0</v>
      </c>
      <c r="E39" s="429">
        <v>19680000</v>
      </c>
    </row>
    <row r="40" spans="1:5" ht="24.75" customHeight="1" x14ac:dyDescent="0.2">
      <c r="A40" s="435" t="s">
        <v>183</v>
      </c>
      <c r="B40" s="428" t="s">
        <v>1389</v>
      </c>
      <c r="C40" s="429">
        <v>0</v>
      </c>
      <c r="D40" s="429">
        <v>0</v>
      </c>
      <c r="E40" s="429">
        <v>0</v>
      </c>
    </row>
    <row r="41" spans="1:5" ht="24.75" customHeight="1" x14ac:dyDescent="0.2">
      <c r="A41" s="435" t="s">
        <v>185</v>
      </c>
      <c r="B41" s="428" t="s">
        <v>1390</v>
      </c>
      <c r="C41" s="429">
        <v>0</v>
      </c>
      <c r="D41" s="429">
        <v>0</v>
      </c>
      <c r="E41" s="429">
        <v>0</v>
      </c>
    </row>
    <row r="42" spans="1:5" ht="24.75" customHeight="1" x14ac:dyDescent="0.2">
      <c r="A42" s="435" t="s">
        <v>187</v>
      </c>
      <c r="B42" s="428" t="s">
        <v>1391</v>
      </c>
      <c r="C42" s="429">
        <v>0</v>
      </c>
      <c r="D42" s="429">
        <v>0</v>
      </c>
      <c r="E42" s="429">
        <v>0</v>
      </c>
    </row>
    <row r="43" spans="1:5" ht="24.75" customHeight="1" x14ac:dyDescent="0.2">
      <c r="A43" s="435" t="s">
        <v>189</v>
      </c>
      <c r="B43" s="428" t="s">
        <v>1392</v>
      </c>
      <c r="C43" s="429">
        <v>0</v>
      </c>
      <c r="D43" s="429">
        <v>0</v>
      </c>
      <c r="E43" s="429">
        <v>0</v>
      </c>
    </row>
    <row r="44" spans="1:5" ht="24.75" customHeight="1" x14ac:dyDescent="0.2">
      <c r="A44" s="435" t="s">
        <v>191</v>
      </c>
      <c r="B44" s="428" t="s">
        <v>1393</v>
      </c>
      <c r="C44" s="429">
        <v>0</v>
      </c>
      <c r="D44" s="429">
        <v>0</v>
      </c>
      <c r="E44" s="429">
        <v>0</v>
      </c>
    </row>
    <row r="45" spans="1:5" ht="24.75" customHeight="1" x14ac:dyDescent="0.2">
      <c r="A45" s="436" t="s">
        <v>193</v>
      </c>
      <c r="B45" s="430" t="s">
        <v>1394</v>
      </c>
      <c r="C45" s="431">
        <v>42953280</v>
      </c>
      <c r="D45" s="431">
        <v>0</v>
      </c>
      <c r="E45" s="431">
        <v>41978013</v>
      </c>
    </row>
    <row r="46" spans="1:5" ht="24.75" customHeight="1" x14ac:dyDescent="0.2">
      <c r="A46" s="436" t="s">
        <v>195</v>
      </c>
      <c r="B46" s="430" t="s">
        <v>1395</v>
      </c>
      <c r="C46" s="431">
        <v>-36987478</v>
      </c>
      <c r="D46" s="431">
        <v>0</v>
      </c>
      <c r="E46" s="431">
        <v>-34426112</v>
      </c>
    </row>
    <row r="47" spans="1:5" ht="24.75" customHeight="1" x14ac:dyDescent="0.2">
      <c r="A47" s="437" t="s">
        <v>197</v>
      </c>
      <c r="B47" s="432" t="s">
        <v>1396</v>
      </c>
      <c r="C47" s="433">
        <v>-250285760</v>
      </c>
      <c r="D47" s="433">
        <v>0</v>
      </c>
      <c r="E47" s="433">
        <v>508127945</v>
      </c>
    </row>
    <row r="48" spans="1:5" x14ac:dyDescent="0.2">
      <c r="A48" s="438"/>
      <c r="B48" s="439"/>
      <c r="C48" s="439"/>
      <c r="D48" s="439"/>
      <c r="E48" s="440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scale="60" orientation="portrait" horizontalDpi="300" verticalDpi="300" r:id="rId1"/>
  <headerFooter alignWithMargins="0">
    <oddHeader xml:space="preserve">&amp;CDunaharaszti Város Önkormányzat 2016. évi zárszámadás ( Ft-ban )&amp;R&amp;A
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8"/>
  <sheetViews>
    <sheetView view="pageBreakPreview" zoomScale="80" zoomScaleNormal="100" zoomScaleSheetLayoutView="80" workbookViewId="0">
      <selection activeCell="A2" sqref="A2"/>
    </sheetView>
  </sheetViews>
  <sheetFormatPr defaultColWidth="8.85546875" defaultRowHeight="12.75" x14ac:dyDescent="0.2"/>
  <cols>
    <col min="1" max="1" width="4.5703125" style="585" customWidth="1"/>
    <col min="2" max="2" width="61.42578125" style="585" customWidth="1"/>
    <col min="3" max="3" width="8" style="585" customWidth="1"/>
    <col min="4" max="5" width="18.42578125" style="585" bestFit="1" customWidth="1"/>
    <col min="6" max="6" width="18.5703125" style="585" bestFit="1" customWidth="1"/>
    <col min="7" max="7" width="3.85546875" style="585" customWidth="1"/>
    <col min="8" max="8" width="68.140625" style="585" customWidth="1"/>
    <col min="9" max="9" width="7.28515625" style="585" customWidth="1"/>
    <col min="10" max="10" width="16.42578125" style="585" customWidth="1"/>
    <col min="11" max="11" width="17.140625" style="585" customWidth="1"/>
    <col min="12" max="12" width="17.28515625" style="585" bestFit="1" customWidth="1"/>
    <col min="13" max="16384" width="8.85546875" style="585"/>
  </cols>
  <sheetData>
    <row r="1" spans="1:14" ht="35.450000000000003" customHeight="1" x14ac:dyDescent="0.2">
      <c r="A1" s="880" t="s">
        <v>1461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584"/>
      <c r="N1" s="584"/>
    </row>
    <row r="2" spans="1:14" s="586" customFormat="1" ht="3.75" customHeight="1" x14ac:dyDescent="0.25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</row>
    <row r="3" spans="1:14" s="586" customFormat="1" x14ac:dyDescent="0.2">
      <c r="A3" s="587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8"/>
      <c r="M3" s="585"/>
      <c r="N3" s="585"/>
    </row>
    <row r="4" spans="1:14" ht="18.75" x14ac:dyDescent="0.2">
      <c r="A4" s="879" t="s">
        <v>1</v>
      </c>
      <c r="B4" s="881" t="s">
        <v>795</v>
      </c>
      <c r="C4" s="881"/>
      <c r="D4" s="881"/>
      <c r="E4" s="881"/>
      <c r="F4" s="881"/>
      <c r="G4" s="589"/>
      <c r="H4" s="881" t="s">
        <v>794</v>
      </c>
      <c r="I4" s="881"/>
      <c r="J4" s="881"/>
      <c r="K4" s="881"/>
      <c r="L4" s="881"/>
      <c r="M4" s="586"/>
      <c r="N4" s="586"/>
    </row>
    <row r="5" spans="1:14" ht="18.75" x14ac:dyDescent="0.2">
      <c r="A5" s="879"/>
      <c r="B5" s="877" t="s">
        <v>2</v>
      </c>
      <c r="C5" s="877" t="s">
        <v>793</v>
      </c>
      <c r="D5" s="874" t="s">
        <v>591</v>
      </c>
      <c r="E5" s="875"/>
      <c r="F5" s="876"/>
      <c r="G5" s="590"/>
      <c r="H5" s="877" t="s">
        <v>2</v>
      </c>
      <c r="I5" s="877" t="s">
        <v>793</v>
      </c>
      <c r="J5" s="874" t="s">
        <v>591</v>
      </c>
      <c r="K5" s="875"/>
      <c r="L5" s="876"/>
      <c r="M5" s="586"/>
      <c r="N5" s="586"/>
    </row>
    <row r="6" spans="1:14" ht="25.5" x14ac:dyDescent="0.2">
      <c r="A6" s="879"/>
      <c r="B6" s="878"/>
      <c r="C6" s="878"/>
      <c r="D6" s="591" t="s">
        <v>860</v>
      </c>
      <c r="E6" s="591" t="s">
        <v>861</v>
      </c>
      <c r="F6" s="591" t="s">
        <v>859</v>
      </c>
      <c r="G6" s="592"/>
      <c r="H6" s="878"/>
      <c r="I6" s="878"/>
      <c r="J6" s="591" t="s">
        <v>860</v>
      </c>
      <c r="K6" s="591" t="s">
        <v>861</v>
      </c>
      <c r="L6" s="591" t="s">
        <v>859</v>
      </c>
      <c r="M6" s="586"/>
      <c r="N6" s="586"/>
    </row>
    <row r="7" spans="1:14" ht="15.75" x14ac:dyDescent="0.2">
      <c r="A7" s="593" t="s">
        <v>3</v>
      </c>
      <c r="B7" s="594" t="s">
        <v>792</v>
      </c>
      <c r="C7" s="595" t="s">
        <v>791</v>
      </c>
      <c r="D7" s="596">
        <v>730099490</v>
      </c>
      <c r="E7" s="596">
        <v>802426532</v>
      </c>
      <c r="F7" s="597">
        <v>802426532</v>
      </c>
      <c r="G7" s="598"/>
      <c r="H7" s="599" t="s">
        <v>790</v>
      </c>
      <c r="I7" s="600" t="s">
        <v>789</v>
      </c>
      <c r="J7" s="596">
        <v>1110861517</v>
      </c>
      <c r="K7" s="596">
        <v>1148665925</v>
      </c>
      <c r="L7" s="597">
        <v>1132413836</v>
      </c>
    </row>
    <row r="8" spans="1:14" ht="15.75" x14ac:dyDescent="0.2">
      <c r="A8" s="593" t="s">
        <v>4</v>
      </c>
      <c r="B8" s="594" t="s">
        <v>788</v>
      </c>
      <c r="C8" s="595" t="s">
        <v>787</v>
      </c>
      <c r="D8" s="596">
        <v>25433020</v>
      </c>
      <c r="E8" s="596">
        <v>25433020</v>
      </c>
      <c r="F8" s="597">
        <v>25433020</v>
      </c>
      <c r="G8" s="598"/>
      <c r="H8" s="594" t="s">
        <v>786</v>
      </c>
      <c r="I8" s="600" t="s">
        <v>785</v>
      </c>
      <c r="J8" s="596">
        <v>327486755</v>
      </c>
      <c r="K8" s="596">
        <v>331415194</v>
      </c>
      <c r="L8" s="597">
        <v>317867650</v>
      </c>
    </row>
    <row r="9" spans="1:14" ht="15.75" x14ac:dyDescent="0.2">
      <c r="A9" s="593" t="s">
        <v>5</v>
      </c>
      <c r="B9" s="594" t="s">
        <v>784</v>
      </c>
      <c r="C9" s="595" t="s">
        <v>783</v>
      </c>
      <c r="D9" s="596">
        <v>2766417215</v>
      </c>
      <c r="E9" s="596">
        <v>3313372101</v>
      </c>
      <c r="F9" s="597">
        <v>3243013946</v>
      </c>
      <c r="G9" s="598"/>
      <c r="H9" s="594" t="s">
        <v>782</v>
      </c>
      <c r="I9" s="600" t="s">
        <v>781</v>
      </c>
      <c r="J9" s="596">
        <v>1640139885</v>
      </c>
      <c r="K9" s="596">
        <v>1908676092</v>
      </c>
      <c r="L9" s="597">
        <v>1647900931</v>
      </c>
    </row>
    <row r="10" spans="1:14" ht="15.75" x14ac:dyDescent="0.2">
      <c r="A10" s="593" t="s">
        <v>6</v>
      </c>
      <c r="B10" s="594" t="s">
        <v>780</v>
      </c>
      <c r="C10" s="595" t="s">
        <v>779</v>
      </c>
      <c r="D10" s="596">
        <v>382546314</v>
      </c>
      <c r="E10" s="596">
        <v>480797671</v>
      </c>
      <c r="F10" s="597">
        <v>460387331</v>
      </c>
      <c r="G10" s="598"/>
      <c r="H10" s="594" t="s">
        <v>778</v>
      </c>
      <c r="I10" s="600" t="s">
        <v>777</v>
      </c>
      <c r="J10" s="596">
        <v>48706225</v>
      </c>
      <c r="K10" s="596">
        <v>52778375</v>
      </c>
      <c r="L10" s="597">
        <v>35367217</v>
      </c>
    </row>
    <row r="11" spans="1:14" ht="15.75" x14ac:dyDescent="0.2">
      <c r="A11" s="593" t="s">
        <v>7</v>
      </c>
      <c r="B11" s="594" t="s">
        <v>776</v>
      </c>
      <c r="C11" s="595" t="s">
        <v>775</v>
      </c>
      <c r="D11" s="596">
        <v>26000000</v>
      </c>
      <c r="E11" s="596">
        <v>24209353</v>
      </c>
      <c r="F11" s="597">
        <v>24209353</v>
      </c>
      <c r="G11" s="598"/>
      <c r="H11" s="594" t="s">
        <v>774</v>
      </c>
      <c r="I11" s="600" t="s">
        <v>773</v>
      </c>
      <c r="J11" s="596">
        <v>494909476</v>
      </c>
      <c r="K11" s="596">
        <v>976525808</v>
      </c>
      <c r="L11" s="597">
        <v>210491882</v>
      </c>
    </row>
    <row r="12" spans="1:14" ht="15.75" x14ac:dyDescent="0.2">
      <c r="A12" s="593" t="s">
        <v>8</v>
      </c>
      <c r="B12" s="594" t="s">
        <v>772</v>
      </c>
      <c r="C12" s="595" t="s">
        <v>771</v>
      </c>
      <c r="D12" s="596">
        <v>33600000</v>
      </c>
      <c r="E12" s="596">
        <v>48700000</v>
      </c>
      <c r="F12" s="597">
        <v>3700000</v>
      </c>
      <c r="G12" s="598"/>
      <c r="H12" s="594" t="s">
        <v>770</v>
      </c>
      <c r="I12" s="600" t="s">
        <v>769</v>
      </c>
      <c r="J12" s="596">
        <v>418778889</v>
      </c>
      <c r="K12" s="596">
        <v>491814982</v>
      </c>
      <c r="L12" s="597">
        <v>464243128</v>
      </c>
    </row>
    <row r="13" spans="1:14" ht="15.75" x14ac:dyDescent="0.2">
      <c r="A13" s="593" t="s">
        <v>9</v>
      </c>
      <c r="B13" s="594" t="s">
        <v>768</v>
      </c>
      <c r="C13" s="595" t="s">
        <v>767</v>
      </c>
      <c r="D13" s="596">
        <v>6301030</v>
      </c>
      <c r="E13" s="596">
        <v>18197277</v>
      </c>
      <c r="F13" s="597">
        <v>18163777</v>
      </c>
      <c r="G13" s="598"/>
      <c r="H13" s="594" t="s">
        <v>766</v>
      </c>
      <c r="I13" s="600" t="s">
        <v>765</v>
      </c>
      <c r="J13" s="596">
        <v>64100000</v>
      </c>
      <c r="K13" s="596">
        <v>308786241</v>
      </c>
      <c r="L13" s="597">
        <v>259228893</v>
      </c>
    </row>
    <row r="14" spans="1:14" ht="15.75" x14ac:dyDescent="0.2">
      <c r="A14" s="593" t="s">
        <v>23</v>
      </c>
      <c r="B14" s="595"/>
      <c r="C14" s="595"/>
      <c r="D14" s="596"/>
      <c r="E14" s="596"/>
      <c r="F14" s="597"/>
      <c r="G14" s="598"/>
      <c r="H14" s="594" t="s">
        <v>764</v>
      </c>
      <c r="I14" s="600" t="s">
        <v>763</v>
      </c>
      <c r="J14" s="596">
        <v>11500000</v>
      </c>
      <c r="K14" s="596">
        <v>9415499</v>
      </c>
      <c r="L14" s="597">
        <v>6243135</v>
      </c>
    </row>
    <row r="15" spans="1:14" s="603" customFormat="1" ht="18" customHeight="1" x14ac:dyDescent="0.2">
      <c r="A15" s="591" t="s">
        <v>25</v>
      </c>
      <c r="B15" s="595" t="s">
        <v>762</v>
      </c>
      <c r="C15" s="595" t="s">
        <v>761</v>
      </c>
      <c r="D15" s="601">
        <f>SUM(D7:D14)</f>
        <v>3970397069</v>
      </c>
      <c r="E15" s="601">
        <f t="shared" ref="E15:F15" si="0">SUM(E7:E14)</f>
        <v>4713135954</v>
      </c>
      <c r="F15" s="601">
        <f t="shared" si="0"/>
        <v>4577333959</v>
      </c>
      <c r="G15" s="602"/>
      <c r="H15" s="595" t="s">
        <v>760</v>
      </c>
      <c r="I15" s="595" t="s">
        <v>759</v>
      </c>
      <c r="J15" s="601">
        <f>SUM(J7:J14)</f>
        <v>4116482747</v>
      </c>
      <c r="K15" s="601">
        <f t="shared" ref="K15:L15" si="1">SUM(K7:K14)</f>
        <v>5228078116</v>
      </c>
      <c r="L15" s="601">
        <f t="shared" si="1"/>
        <v>4073756672</v>
      </c>
    </row>
    <row r="16" spans="1:14" ht="15.75" x14ac:dyDescent="0.2">
      <c r="A16" s="593" t="s">
        <v>27</v>
      </c>
      <c r="B16" s="594" t="s">
        <v>758</v>
      </c>
      <c r="C16" s="595"/>
      <c r="D16" s="596">
        <f>+D7+D9+D10+D12</f>
        <v>3912663019</v>
      </c>
      <c r="E16" s="596">
        <f t="shared" ref="E16:F16" si="2">+E7+E9+E10+E12</f>
        <v>4645296304</v>
      </c>
      <c r="F16" s="596">
        <f t="shared" si="2"/>
        <v>4509527809</v>
      </c>
      <c r="G16" s="598"/>
      <c r="H16" s="594" t="s">
        <v>757</v>
      </c>
      <c r="I16" s="594"/>
      <c r="J16" s="596">
        <f>+J7+J8+J9+J10+J11</f>
        <v>3622103858</v>
      </c>
      <c r="K16" s="596">
        <f t="shared" ref="K16:L16" si="3">+K7+K8+K9+K10+K11</f>
        <v>4418061394</v>
      </c>
      <c r="L16" s="596">
        <f t="shared" si="3"/>
        <v>3344041516</v>
      </c>
    </row>
    <row r="17" spans="1:12" ht="15.75" x14ac:dyDescent="0.2">
      <c r="A17" s="593" t="s">
        <v>31</v>
      </c>
      <c r="B17" s="594" t="s">
        <v>756</v>
      </c>
      <c r="C17" s="595"/>
      <c r="D17" s="596">
        <f>+D8+D11+D13</f>
        <v>57734050</v>
      </c>
      <c r="E17" s="596">
        <f t="shared" ref="E17:F17" si="4">+E8+E11+E13</f>
        <v>67839650</v>
      </c>
      <c r="F17" s="596">
        <f t="shared" si="4"/>
        <v>67806150</v>
      </c>
      <c r="G17" s="598"/>
      <c r="H17" s="594" t="s">
        <v>755</v>
      </c>
      <c r="I17" s="595"/>
      <c r="J17" s="596">
        <f>+J12+J13+J14</f>
        <v>494378889</v>
      </c>
      <c r="K17" s="596">
        <f t="shared" ref="K17:L17" si="5">+K12+K13+K14</f>
        <v>810016722</v>
      </c>
      <c r="L17" s="596">
        <f t="shared" si="5"/>
        <v>729715156</v>
      </c>
    </row>
    <row r="18" spans="1:12" s="603" customFormat="1" ht="15.75" x14ac:dyDescent="0.2">
      <c r="A18" s="591" t="s">
        <v>33</v>
      </c>
      <c r="B18" s="595" t="s">
        <v>754</v>
      </c>
      <c r="C18" s="595" t="s">
        <v>753</v>
      </c>
      <c r="D18" s="601">
        <f>SUM(D19:D24)</f>
        <v>1897555870</v>
      </c>
      <c r="E18" s="601">
        <f>SUM(E19:E24)</f>
        <v>2339265342</v>
      </c>
      <c r="F18" s="601">
        <v>8385237910</v>
      </c>
      <c r="G18" s="602"/>
      <c r="H18" s="595" t="s">
        <v>752</v>
      </c>
      <c r="I18" s="595" t="s">
        <v>751</v>
      </c>
      <c r="J18" s="601">
        <v>1751470192</v>
      </c>
      <c r="K18" s="601">
        <v>1824323180</v>
      </c>
      <c r="L18" s="604">
        <v>7870295748</v>
      </c>
    </row>
    <row r="19" spans="1:12" s="603" customFormat="1" ht="15.75" x14ac:dyDescent="0.2">
      <c r="A19" s="593" t="s">
        <v>34</v>
      </c>
      <c r="B19" s="605" t="s">
        <v>1455</v>
      </c>
      <c r="C19" s="595"/>
      <c r="D19" s="601"/>
      <c r="E19" s="596">
        <v>22210720</v>
      </c>
      <c r="F19" s="601"/>
      <c r="G19" s="602"/>
      <c r="H19" s="605" t="s">
        <v>749</v>
      </c>
      <c r="I19" s="594"/>
      <c r="J19" s="596">
        <v>0</v>
      </c>
      <c r="K19" s="596">
        <v>20301370</v>
      </c>
      <c r="L19" s="597">
        <v>20301370</v>
      </c>
    </row>
    <row r="20" spans="1:12" ht="15.75" x14ac:dyDescent="0.2">
      <c r="A20" s="593" t="s">
        <v>34</v>
      </c>
      <c r="B20" s="605" t="s">
        <v>750</v>
      </c>
      <c r="C20" s="594"/>
      <c r="D20" s="596">
        <v>14015589</v>
      </c>
      <c r="E20" s="596">
        <v>188319243</v>
      </c>
      <c r="F20" s="597">
        <v>188319243</v>
      </c>
      <c r="G20" s="598"/>
      <c r="H20" s="594" t="s">
        <v>747</v>
      </c>
      <c r="I20" s="595"/>
      <c r="J20" s="596">
        <v>1735417192</v>
      </c>
      <c r="K20" s="596">
        <v>1775286655</v>
      </c>
      <c r="L20" s="597">
        <v>1691471530</v>
      </c>
    </row>
    <row r="21" spans="1:12" ht="15.75" x14ac:dyDescent="0.2">
      <c r="A21" s="593" t="s">
        <v>36</v>
      </c>
      <c r="B21" s="594" t="s">
        <v>748</v>
      </c>
      <c r="C21" s="594"/>
      <c r="D21" s="596">
        <v>132070089</v>
      </c>
      <c r="E21" s="596">
        <v>324713569</v>
      </c>
      <c r="F21" s="597">
        <v>324713569</v>
      </c>
      <c r="G21" s="598"/>
      <c r="H21" s="594" t="s">
        <v>745</v>
      </c>
      <c r="I21" s="606"/>
      <c r="J21" s="607">
        <v>16053000</v>
      </c>
      <c r="K21" s="607">
        <v>28735155</v>
      </c>
      <c r="L21" s="597">
        <v>28522848</v>
      </c>
    </row>
    <row r="22" spans="1:12" ht="15.75" x14ac:dyDescent="0.2">
      <c r="A22" s="593" t="s">
        <v>38</v>
      </c>
      <c r="B22" s="594" t="s">
        <v>746</v>
      </c>
      <c r="C22" s="594"/>
      <c r="D22" s="596">
        <v>1735417192</v>
      </c>
      <c r="E22" s="596">
        <v>1775286655</v>
      </c>
      <c r="F22" s="597">
        <v>1691471530</v>
      </c>
      <c r="G22" s="598"/>
      <c r="H22" s="594" t="s">
        <v>743</v>
      </c>
      <c r="I22" s="608"/>
      <c r="J22" s="596">
        <v>0</v>
      </c>
      <c r="K22" s="596">
        <v>0</v>
      </c>
      <c r="L22" s="597">
        <v>0</v>
      </c>
    </row>
    <row r="23" spans="1:12" ht="15.75" x14ac:dyDescent="0.2">
      <c r="A23" s="593" t="s">
        <v>40</v>
      </c>
      <c r="B23" s="594" t="s">
        <v>744</v>
      </c>
      <c r="C23" s="594"/>
      <c r="D23" s="596">
        <v>16053000</v>
      </c>
      <c r="E23" s="596">
        <v>28735155</v>
      </c>
      <c r="F23" s="597">
        <v>28522848</v>
      </c>
      <c r="G23" s="598"/>
    </row>
    <row r="24" spans="1:12" ht="15.75" x14ac:dyDescent="0.2">
      <c r="A24" s="593" t="s">
        <v>50</v>
      </c>
      <c r="B24" s="605" t="s">
        <v>742</v>
      </c>
      <c r="C24" s="594"/>
      <c r="D24" s="596">
        <v>0</v>
      </c>
      <c r="E24" s="596">
        <v>0</v>
      </c>
      <c r="F24" s="597">
        <v>0</v>
      </c>
      <c r="G24" s="598"/>
      <c r="H24" s="595"/>
      <c r="I24" s="608"/>
      <c r="J24" s="607"/>
      <c r="K24" s="607"/>
      <c r="L24" s="597"/>
    </row>
    <row r="25" spans="1:12" s="603" customFormat="1" ht="18.75" customHeight="1" x14ac:dyDescent="0.25">
      <c r="A25" s="591" t="s">
        <v>52</v>
      </c>
      <c r="B25" s="609" t="s">
        <v>741</v>
      </c>
      <c r="C25" s="610" t="s">
        <v>740</v>
      </c>
      <c r="D25" s="611">
        <f>+D15+D18</f>
        <v>5867952939</v>
      </c>
      <c r="E25" s="611">
        <f t="shared" ref="E25" si="6">+E15+E18</f>
        <v>7052401296</v>
      </c>
      <c r="F25" s="611">
        <f>+F15+F18</f>
        <v>12962571869</v>
      </c>
      <c r="G25" s="612"/>
      <c r="H25" s="613" t="s">
        <v>739</v>
      </c>
      <c r="I25" s="613" t="s">
        <v>738</v>
      </c>
      <c r="J25" s="614">
        <f>+J15+J18</f>
        <v>5867952939</v>
      </c>
      <c r="K25" s="614">
        <f t="shared" ref="K25:L25" si="7">+K15+K18</f>
        <v>7052401296</v>
      </c>
      <c r="L25" s="614">
        <f t="shared" si="7"/>
        <v>11944052420</v>
      </c>
    </row>
    <row r="27" spans="1:12" ht="25.5" x14ac:dyDescent="0.2">
      <c r="D27" s="615" t="s">
        <v>860</v>
      </c>
      <c r="E27" s="615" t="s">
        <v>861</v>
      </c>
      <c r="F27" s="615" t="s">
        <v>859</v>
      </c>
      <c r="J27" s="622"/>
      <c r="K27" s="622"/>
      <c r="L27" s="622"/>
    </row>
    <row r="28" spans="1:12" ht="15.75" x14ac:dyDescent="0.2">
      <c r="B28" s="885" t="s">
        <v>737</v>
      </c>
      <c r="C28" s="885"/>
      <c r="D28" s="616">
        <f>+D16</f>
        <v>3912663019</v>
      </c>
      <c r="E28" s="616">
        <f t="shared" ref="E28:F28" si="8">+E16</f>
        <v>4645296304</v>
      </c>
      <c r="F28" s="616">
        <f t="shared" si="8"/>
        <v>4509527809</v>
      </c>
      <c r="G28" s="617"/>
    </row>
    <row r="29" spans="1:12" ht="15.75" x14ac:dyDescent="0.2">
      <c r="B29" s="885" t="s">
        <v>736</v>
      </c>
      <c r="C29" s="885"/>
      <c r="D29" s="616">
        <f>+J16</f>
        <v>3622103858</v>
      </c>
      <c r="E29" s="616">
        <f t="shared" ref="E29:F29" si="9">+K16</f>
        <v>4418061394</v>
      </c>
      <c r="F29" s="616">
        <f t="shared" si="9"/>
        <v>3344041516</v>
      </c>
      <c r="G29" s="617"/>
    </row>
    <row r="30" spans="1:12" s="603" customFormat="1" ht="15.75" x14ac:dyDescent="0.2">
      <c r="B30" s="882" t="s">
        <v>735</v>
      </c>
      <c r="C30" s="882"/>
      <c r="D30" s="618">
        <f>+D28-D29</f>
        <v>290559161</v>
      </c>
      <c r="E30" s="618">
        <f t="shared" ref="E30:F30" si="10">+E28-E29</f>
        <v>227234910</v>
      </c>
      <c r="F30" s="618">
        <f t="shared" si="10"/>
        <v>1165486293</v>
      </c>
      <c r="G30" s="619"/>
    </row>
    <row r="31" spans="1:12" ht="15.75" x14ac:dyDescent="0.2">
      <c r="B31" s="619"/>
      <c r="C31" s="619"/>
      <c r="D31" s="616"/>
      <c r="E31" s="616"/>
      <c r="F31" s="616"/>
      <c r="G31" s="619"/>
    </row>
    <row r="32" spans="1:12" ht="15.75" x14ac:dyDescent="0.2">
      <c r="B32" s="885" t="s">
        <v>734</v>
      </c>
      <c r="C32" s="885"/>
      <c r="D32" s="616">
        <f>+D17</f>
        <v>57734050</v>
      </c>
      <c r="E32" s="616">
        <f t="shared" ref="E32:F32" si="11">+E17</f>
        <v>67839650</v>
      </c>
      <c r="F32" s="616">
        <f t="shared" si="11"/>
        <v>67806150</v>
      </c>
      <c r="G32" s="617"/>
      <c r="H32" s="622"/>
      <c r="I32" s="622"/>
      <c r="J32" s="622"/>
    </row>
    <row r="33" spans="2:7" ht="15.75" x14ac:dyDescent="0.2">
      <c r="B33" s="885" t="s">
        <v>733</v>
      </c>
      <c r="C33" s="885"/>
      <c r="D33" s="616">
        <f>+J17</f>
        <v>494378889</v>
      </c>
      <c r="E33" s="616">
        <f t="shared" ref="E33:F33" si="12">+K17</f>
        <v>810016722</v>
      </c>
      <c r="F33" s="616">
        <f t="shared" si="12"/>
        <v>729715156</v>
      </c>
      <c r="G33" s="617"/>
    </row>
    <row r="34" spans="2:7" s="603" customFormat="1" ht="15.75" x14ac:dyDescent="0.2">
      <c r="B34" s="882" t="s">
        <v>732</v>
      </c>
      <c r="C34" s="882"/>
      <c r="D34" s="618">
        <f>+D32-D33</f>
        <v>-436644839</v>
      </c>
      <c r="E34" s="618">
        <f t="shared" ref="E34:F34" si="13">+E32-E33</f>
        <v>-742177072</v>
      </c>
      <c r="F34" s="618">
        <f t="shared" si="13"/>
        <v>-661909006</v>
      </c>
      <c r="G34" s="619"/>
    </row>
    <row r="35" spans="2:7" ht="15.75" x14ac:dyDescent="0.2">
      <c r="B35" s="619"/>
      <c r="C35" s="619"/>
      <c r="D35" s="616"/>
      <c r="E35" s="616"/>
      <c r="F35" s="616"/>
      <c r="G35" s="619"/>
    </row>
    <row r="36" spans="2:7" ht="32.25" customHeight="1" x14ac:dyDescent="0.2">
      <c r="B36" s="883" t="s">
        <v>731</v>
      </c>
      <c r="C36" s="883"/>
      <c r="D36" s="616">
        <f>+D30+D34</f>
        <v>-146085678</v>
      </c>
      <c r="E36" s="616">
        <f t="shared" ref="E36:F36" si="14">+E30+E34</f>
        <v>-514942162</v>
      </c>
      <c r="F36" s="616">
        <f t="shared" si="14"/>
        <v>503577287</v>
      </c>
      <c r="G36" s="620"/>
    </row>
    <row r="37" spans="2:7" ht="39" customHeight="1" x14ac:dyDescent="0.2">
      <c r="B37" s="883" t="s">
        <v>730</v>
      </c>
      <c r="C37" s="883"/>
      <c r="D37" s="616">
        <f>+D18-J18</f>
        <v>146085678</v>
      </c>
      <c r="E37" s="616">
        <f t="shared" ref="E37" si="15">+E18-K18</f>
        <v>514942162</v>
      </c>
      <c r="F37" s="616">
        <f t="shared" ref="F37" si="16">+F18-L18</f>
        <v>514942162</v>
      </c>
      <c r="G37" s="616"/>
    </row>
    <row r="38" spans="2:7" s="603" customFormat="1" ht="36" customHeight="1" x14ac:dyDescent="0.2">
      <c r="B38" s="884" t="s">
        <v>862</v>
      </c>
      <c r="C38" s="884"/>
      <c r="D38" s="618">
        <f>+D36+D37</f>
        <v>0</v>
      </c>
      <c r="E38" s="618">
        <f t="shared" ref="E38:F38" si="17">+E36+E37</f>
        <v>0</v>
      </c>
      <c r="F38" s="618">
        <f t="shared" si="17"/>
        <v>1018519449</v>
      </c>
      <c r="G38" s="621"/>
    </row>
  </sheetData>
  <mergeCells count="19">
    <mergeCell ref="B34:C34"/>
    <mergeCell ref="B36:C36"/>
    <mergeCell ref="B37:C37"/>
    <mergeCell ref="B38:C38"/>
    <mergeCell ref="B4:F4"/>
    <mergeCell ref="B33:C33"/>
    <mergeCell ref="B32:C32"/>
    <mergeCell ref="B5:B6"/>
    <mergeCell ref="C5:C6"/>
    <mergeCell ref="D5:F5"/>
    <mergeCell ref="B28:C28"/>
    <mergeCell ref="B29:C29"/>
    <mergeCell ref="B30:C30"/>
    <mergeCell ref="J5:L5"/>
    <mergeCell ref="H5:H6"/>
    <mergeCell ref="I5:I6"/>
    <mergeCell ref="A4:A6"/>
    <mergeCell ref="A1:L1"/>
    <mergeCell ref="H4:L4"/>
  </mergeCells>
  <printOptions horizontalCentered="1" verticalCentered="1"/>
  <pageMargins left="0.27559055118110237" right="0.43307086614173229" top="0.74803149606299213" bottom="0.74803149606299213" header="0.31496062992125984" footer="0.31496062992125984"/>
  <pageSetup paperSize="9" scale="53" orientation="landscape" r:id="rId1"/>
  <headerFooter>
    <oddHeader>&amp;CDunaharaszti Város Önkormányzat 2016. évi zárszámadás&amp;R&amp;A</oddHeader>
    <oddFooter>&amp;C&amp;P/&amp;N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7"/>
  <sheetViews>
    <sheetView view="pageBreakPreview" zoomScale="90" zoomScaleNormal="100" zoomScaleSheetLayoutView="9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23" sqref="H23"/>
    </sheetView>
  </sheetViews>
  <sheetFormatPr defaultRowHeight="12.75" x14ac:dyDescent="0.2"/>
  <cols>
    <col min="1" max="1" width="5.5703125" style="457" customWidth="1"/>
    <col min="2" max="2" width="66.140625" style="457" customWidth="1"/>
    <col min="3" max="3" width="13.85546875" style="653" customWidth="1"/>
    <col min="4" max="6" width="13.85546875" style="403" customWidth="1"/>
    <col min="7" max="7" width="12.7109375" style="457" bestFit="1" customWidth="1"/>
    <col min="8" max="8" width="12.28515625" style="457" bestFit="1" customWidth="1"/>
    <col min="9" max="236" width="9.140625" style="457"/>
    <col min="237" max="237" width="5.5703125" style="457" customWidth="1"/>
    <col min="238" max="238" width="66.140625" style="457" customWidth="1"/>
    <col min="239" max="262" width="14.85546875" style="457" customWidth="1"/>
    <col min="263" max="263" width="9.140625" style="457"/>
    <col min="264" max="264" width="12.28515625" style="457" bestFit="1" customWidth="1"/>
    <col min="265" max="492" width="9.140625" style="457"/>
    <col min="493" max="493" width="5.5703125" style="457" customWidth="1"/>
    <col min="494" max="494" width="66.140625" style="457" customWidth="1"/>
    <col min="495" max="518" width="14.85546875" style="457" customWidth="1"/>
    <col min="519" max="519" width="9.140625" style="457"/>
    <col min="520" max="520" width="12.28515625" style="457" bestFit="1" customWidth="1"/>
    <col min="521" max="748" width="9.140625" style="457"/>
    <col min="749" max="749" width="5.5703125" style="457" customWidth="1"/>
    <col min="750" max="750" width="66.140625" style="457" customWidth="1"/>
    <col min="751" max="774" width="14.85546875" style="457" customWidth="1"/>
    <col min="775" max="775" width="9.140625" style="457"/>
    <col min="776" max="776" width="12.28515625" style="457" bestFit="1" customWidth="1"/>
    <col min="777" max="1004" width="9.140625" style="457"/>
    <col min="1005" max="1005" width="5.5703125" style="457" customWidth="1"/>
    <col min="1006" max="1006" width="66.140625" style="457" customWidth="1"/>
    <col min="1007" max="1030" width="14.85546875" style="457" customWidth="1"/>
    <col min="1031" max="1031" width="9.140625" style="457"/>
    <col min="1032" max="1032" width="12.28515625" style="457" bestFit="1" customWidth="1"/>
    <col min="1033" max="1260" width="9.140625" style="457"/>
    <col min="1261" max="1261" width="5.5703125" style="457" customWidth="1"/>
    <col min="1262" max="1262" width="66.140625" style="457" customWidth="1"/>
    <col min="1263" max="1286" width="14.85546875" style="457" customWidth="1"/>
    <col min="1287" max="1287" width="9.140625" style="457"/>
    <col min="1288" max="1288" width="12.28515625" style="457" bestFit="1" customWidth="1"/>
    <col min="1289" max="1516" width="9.140625" style="457"/>
    <col min="1517" max="1517" width="5.5703125" style="457" customWidth="1"/>
    <col min="1518" max="1518" width="66.140625" style="457" customWidth="1"/>
    <col min="1519" max="1542" width="14.85546875" style="457" customWidth="1"/>
    <col min="1543" max="1543" width="9.140625" style="457"/>
    <col min="1544" max="1544" width="12.28515625" style="457" bestFit="1" customWidth="1"/>
    <col min="1545" max="1772" width="9.140625" style="457"/>
    <col min="1773" max="1773" width="5.5703125" style="457" customWidth="1"/>
    <col min="1774" max="1774" width="66.140625" style="457" customWidth="1"/>
    <col min="1775" max="1798" width="14.85546875" style="457" customWidth="1"/>
    <col min="1799" max="1799" width="9.140625" style="457"/>
    <col min="1800" max="1800" width="12.28515625" style="457" bestFit="1" customWidth="1"/>
    <col min="1801" max="2028" width="9.140625" style="457"/>
    <col min="2029" max="2029" width="5.5703125" style="457" customWidth="1"/>
    <col min="2030" max="2030" width="66.140625" style="457" customWidth="1"/>
    <col min="2031" max="2054" width="14.85546875" style="457" customWidth="1"/>
    <col min="2055" max="2055" width="9.140625" style="457"/>
    <col min="2056" max="2056" width="12.28515625" style="457" bestFit="1" customWidth="1"/>
    <col min="2057" max="2284" width="9.140625" style="457"/>
    <col min="2285" max="2285" width="5.5703125" style="457" customWidth="1"/>
    <col min="2286" max="2286" width="66.140625" style="457" customWidth="1"/>
    <col min="2287" max="2310" width="14.85546875" style="457" customWidth="1"/>
    <col min="2311" max="2311" width="9.140625" style="457"/>
    <col min="2312" max="2312" width="12.28515625" style="457" bestFit="1" customWidth="1"/>
    <col min="2313" max="2540" width="9.140625" style="457"/>
    <col min="2541" max="2541" width="5.5703125" style="457" customWidth="1"/>
    <col min="2542" max="2542" width="66.140625" style="457" customWidth="1"/>
    <col min="2543" max="2566" width="14.85546875" style="457" customWidth="1"/>
    <col min="2567" max="2567" width="9.140625" style="457"/>
    <col min="2568" max="2568" width="12.28515625" style="457" bestFit="1" customWidth="1"/>
    <col min="2569" max="2796" width="9.140625" style="457"/>
    <col min="2797" max="2797" width="5.5703125" style="457" customWidth="1"/>
    <col min="2798" max="2798" width="66.140625" style="457" customWidth="1"/>
    <col min="2799" max="2822" width="14.85546875" style="457" customWidth="1"/>
    <col min="2823" max="2823" width="9.140625" style="457"/>
    <col min="2824" max="2824" width="12.28515625" style="457" bestFit="1" customWidth="1"/>
    <col min="2825" max="3052" width="9.140625" style="457"/>
    <col min="3053" max="3053" width="5.5703125" style="457" customWidth="1"/>
    <col min="3054" max="3054" width="66.140625" style="457" customWidth="1"/>
    <col min="3055" max="3078" width="14.85546875" style="457" customWidth="1"/>
    <col min="3079" max="3079" width="9.140625" style="457"/>
    <col min="3080" max="3080" width="12.28515625" style="457" bestFit="1" customWidth="1"/>
    <col min="3081" max="3308" width="9.140625" style="457"/>
    <col min="3309" max="3309" width="5.5703125" style="457" customWidth="1"/>
    <col min="3310" max="3310" width="66.140625" style="457" customWidth="1"/>
    <col min="3311" max="3334" width="14.85546875" style="457" customWidth="1"/>
    <col min="3335" max="3335" width="9.140625" style="457"/>
    <col min="3336" max="3336" width="12.28515625" style="457" bestFit="1" customWidth="1"/>
    <col min="3337" max="3564" width="9.140625" style="457"/>
    <col min="3565" max="3565" width="5.5703125" style="457" customWidth="1"/>
    <col min="3566" max="3566" width="66.140625" style="457" customWidth="1"/>
    <col min="3567" max="3590" width="14.85546875" style="457" customWidth="1"/>
    <col min="3591" max="3591" width="9.140625" style="457"/>
    <col min="3592" max="3592" width="12.28515625" style="457" bestFit="1" customWidth="1"/>
    <col min="3593" max="3820" width="9.140625" style="457"/>
    <col min="3821" max="3821" width="5.5703125" style="457" customWidth="1"/>
    <col min="3822" max="3822" width="66.140625" style="457" customWidth="1"/>
    <col min="3823" max="3846" width="14.85546875" style="457" customWidth="1"/>
    <col min="3847" max="3847" width="9.140625" style="457"/>
    <col min="3848" max="3848" width="12.28515625" style="457" bestFit="1" customWidth="1"/>
    <col min="3849" max="4076" width="9.140625" style="457"/>
    <col min="4077" max="4077" width="5.5703125" style="457" customWidth="1"/>
    <col min="4078" max="4078" width="66.140625" style="457" customWidth="1"/>
    <col min="4079" max="4102" width="14.85546875" style="457" customWidth="1"/>
    <col min="4103" max="4103" width="9.140625" style="457"/>
    <col min="4104" max="4104" width="12.28515625" style="457" bestFit="1" customWidth="1"/>
    <col min="4105" max="4332" width="9.140625" style="457"/>
    <col min="4333" max="4333" width="5.5703125" style="457" customWidth="1"/>
    <col min="4334" max="4334" width="66.140625" style="457" customWidth="1"/>
    <col min="4335" max="4358" width="14.85546875" style="457" customWidth="1"/>
    <col min="4359" max="4359" width="9.140625" style="457"/>
    <col min="4360" max="4360" width="12.28515625" style="457" bestFit="1" customWidth="1"/>
    <col min="4361" max="4588" width="9.140625" style="457"/>
    <col min="4589" max="4589" width="5.5703125" style="457" customWidth="1"/>
    <col min="4590" max="4590" width="66.140625" style="457" customWidth="1"/>
    <col min="4591" max="4614" width="14.85546875" style="457" customWidth="1"/>
    <col min="4615" max="4615" width="9.140625" style="457"/>
    <col min="4616" max="4616" width="12.28515625" style="457" bestFit="1" customWidth="1"/>
    <col min="4617" max="4844" width="9.140625" style="457"/>
    <col min="4845" max="4845" width="5.5703125" style="457" customWidth="1"/>
    <col min="4846" max="4846" width="66.140625" style="457" customWidth="1"/>
    <col min="4847" max="4870" width="14.85546875" style="457" customWidth="1"/>
    <col min="4871" max="4871" width="9.140625" style="457"/>
    <col min="4872" max="4872" width="12.28515625" style="457" bestFit="1" customWidth="1"/>
    <col min="4873" max="5100" width="9.140625" style="457"/>
    <col min="5101" max="5101" width="5.5703125" style="457" customWidth="1"/>
    <col min="5102" max="5102" width="66.140625" style="457" customWidth="1"/>
    <col min="5103" max="5126" width="14.85546875" style="457" customWidth="1"/>
    <col min="5127" max="5127" width="9.140625" style="457"/>
    <col min="5128" max="5128" width="12.28515625" style="457" bestFit="1" customWidth="1"/>
    <col min="5129" max="5356" width="9.140625" style="457"/>
    <col min="5357" max="5357" width="5.5703125" style="457" customWidth="1"/>
    <col min="5358" max="5358" width="66.140625" style="457" customWidth="1"/>
    <col min="5359" max="5382" width="14.85546875" style="457" customWidth="1"/>
    <col min="5383" max="5383" width="9.140625" style="457"/>
    <col min="5384" max="5384" width="12.28515625" style="457" bestFit="1" customWidth="1"/>
    <col min="5385" max="5612" width="9.140625" style="457"/>
    <col min="5613" max="5613" width="5.5703125" style="457" customWidth="1"/>
    <col min="5614" max="5614" width="66.140625" style="457" customWidth="1"/>
    <col min="5615" max="5638" width="14.85546875" style="457" customWidth="1"/>
    <col min="5639" max="5639" width="9.140625" style="457"/>
    <col min="5640" max="5640" width="12.28515625" style="457" bestFit="1" customWidth="1"/>
    <col min="5641" max="5868" width="9.140625" style="457"/>
    <col min="5869" max="5869" width="5.5703125" style="457" customWidth="1"/>
    <col min="5870" max="5870" width="66.140625" style="457" customWidth="1"/>
    <col min="5871" max="5894" width="14.85546875" style="457" customWidth="1"/>
    <col min="5895" max="5895" width="9.140625" style="457"/>
    <col min="5896" max="5896" width="12.28515625" style="457" bestFit="1" customWidth="1"/>
    <col min="5897" max="6124" width="9.140625" style="457"/>
    <col min="6125" max="6125" width="5.5703125" style="457" customWidth="1"/>
    <col min="6126" max="6126" width="66.140625" style="457" customWidth="1"/>
    <col min="6127" max="6150" width="14.85546875" style="457" customWidth="1"/>
    <col min="6151" max="6151" width="9.140625" style="457"/>
    <col min="6152" max="6152" width="12.28515625" style="457" bestFit="1" customWidth="1"/>
    <col min="6153" max="6380" width="9.140625" style="457"/>
    <col min="6381" max="6381" width="5.5703125" style="457" customWidth="1"/>
    <col min="6382" max="6382" width="66.140625" style="457" customWidth="1"/>
    <col min="6383" max="6406" width="14.85546875" style="457" customWidth="1"/>
    <col min="6407" max="6407" width="9.140625" style="457"/>
    <col min="6408" max="6408" width="12.28515625" style="457" bestFit="1" customWidth="1"/>
    <col min="6409" max="6636" width="9.140625" style="457"/>
    <col min="6637" max="6637" width="5.5703125" style="457" customWidth="1"/>
    <col min="6638" max="6638" width="66.140625" style="457" customWidth="1"/>
    <col min="6639" max="6662" width="14.85546875" style="457" customWidth="1"/>
    <col min="6663" max="6663" width="9.140625" style="457"/>
    <col min="6664" max="6664" width="12.28515625" style="457" bestFit="1" customWidth="1"/>
    <col min="6665" max="6892" width="9.140625" style="457"/>
    <col min="6893" max="6893" width="5.5703125" style="457" customWidth="1"/>
    <col min="6894" max="6894" width="66.140625" style="457" customWidth="1"/>
    <col min="6895" max="6918" width="14.85546875" style="457" customWidth="1"/>
    <col min="6919" max="6919" width="9.140625" style="457"/>
    <col min="6920" max="6920" width="12.28515625" style="457" bestFit="1" customWidth="1"/>
    <col min="6921" max="7148" width="9.140625" style="457"/>
    <col min="7149" max="7149" width="5.5703125" style="457" customWidth="1"/>
    <col min="7150" max="7150" width="66.140625" style="457" customWidth="1"/>
    <col min="7151" max="7174" width="14.85546875" style="457" customWidth="1"/>
    <col min="7175" max="7175" width="9.140625" style="457"/>
    <col min="7176" max="7176" width="12.28515625" style="457" bestFit="1" customWidth="1"/>
    <col min="7177" max="7404" width="9.140625" style="457"/>
    <col min="7405" max="7405" width="5.5703125" style="457" customWidth="1"/>
    <col min="7406" max="7406" width="66.140625" style="457" customWidth="1"/>
    <col min="7407" max="7430" width="14.85546875" style="457" customWidth="1"/>
    <col min="7431" max="7431" width="9.140625" style="457"/>
    <col min="7432" max="7432" width="12.28515625" style="457" bestFit="1" customWidth="1"/>
    <col min="7433" max="7660" width="9.140625" style="457"/>
    <col min="7661" max="7661" width="5.5703125" style="457" customWidth="1"/>
    <col min="7662" max="7662" width="66.140625" style="457" customWidth="1"/>
    <col min="7663" max="7686" width="14.85546875" style="457" customWidth="1"/>
    <col min="7687" max="7687" width="9.140625" style="457"/>
    <col min="7688" max="7688" width="12.28515625" style="457" bestFit="1" customWidth="1"/>
    <col min="7689" max="7916" width="9.140625" style="457"/>
    <col min="7917" max="7917" width="5.5703125" style="457" customWidth="1"/>
    <col min="7918" max="7918" width="66.140625" style="457" customWidth="1"/>
    <col min="7919" max="7942" width="14.85546875" style="457" customWidth="1"/>
    <col min="7943" max="7943" width="9.140625" style="457"/>
    <col min="7944" max="7944" width="12.28515625" style="457" bestFit="1" customWidth="1"/>
    <col min="7945" max="8172" width="9.140625" style="457"/>
    <col min="8173" max="8173" width="5.5703125" style="457" customWidth="1"/>
    <col min="8174" max="8174" width="66.140625" style="457" customWidth="1"/>
    <col min="8175" max="8198" width="14.85546875" style="457" customWidth="1"/>
    <col min="8199" max="8199" width="9.140625" style="457"/>
    <col min="8200" max="8200" width="12.28515625" style="457" bestFit="1" customWidth="1"/>
    <col min="8201" max="8428" width="9.140625" style="457"/>
    <col min="8429" max="8429" width="5.5703125" style="457" customWidth="1"/>
    <col min="8430" max="8430" width="66.140625" style="457" customWidth="1"/>
    <col min="8431" max="8454" width="14.85546875" style="457" customWidth="1"/>
    <col min="8455" max="8455" width="9.140625" style="457"/>
    <col min="8456" max="8456" width="12.28515625" style="457" bestFit="1" customWidth="1"/>
    <col min="8457" max="8684" width="9.140625" style="457"/>
    <col min="8685" max="8685" width="5.5703125" style="457" customWidth="1"/>
    <col min="8686" max="8686" width="66.140625" style="457" customWidth="1"/>
    <col min="8687" max="8710" width="14.85546875" style="457" customWidth="1"/>
    <col min="8711" max="8711" width="9.140625" style="457"/>
    <col min="8712" max="8712" width="12.28515625" style="457" bestFit="1" customWidth="1"/>
    <col min="8713" max="8940" width="9.140625" style="457"/>
    <col min="8941" max="8941" width="5.5703125" style="457" customWidth="1"/>
    <col min="8942" max="8942" width="66.140625" style="457" customWidth="1"/>
    <col min="8943" max="8966" width="14.85546875" style="457" customWidth="1"/>
    <col min="8967" max="8967" width="9.140625" style="457"/>
    <col min="8968" max="8968" width="12.28515625" style="457" bestFit="1" customWidth="1"/>
    <col min="8969" max="9196" width="9.140625" style="457"/>
    <col min="9197" max="9197" width="5.5703125" style="457" customWidth="1"/>
    <col min="9198" max="9198" width="66.140625" style="457" customWidth="1"/>
    <col min="9199" max="9222" width="14.85546875" style="457" customWidth="1"/>
    <col min="9223" max="9223" width="9.140625" style="457"/>
    <col min="9224" max="9224" width="12.28515625" style="457" bestFit="1" customWidth="1"/>
    <col min="9225" max="9452" width="9.140625" style="457"/>
    <col min="9453" max="9453" width="5.5703125" style="457" customWidth="1"/>
    <col min="9454" max="9454" width="66.140625" style="457" customWidth="1"/>
    <col min="9455" max="9478" width="14.85546875" style="457" customWidth="1"/>
    <col min="9479" max="9479" width="9.140625" style="457"/>
    <col min="9480" max="9480" width="12.28515625" style="457" bestFit="1" customWidth="1"/>
    <col min="9481" max="9708" width="9.140625" style="457"/>
    <col min="9709" max="9709" width="5.5703125" style="457" customWidth="1"/>
    <col min="9710" max="9710" width="66.140625" style="457" customWidth="1"/>
    <col min="9711" max="9734" width="14.85546875" style="457" customWidth="1"/>
    <col min="9735" max="9735" width="9.140625" style="457"/>
    <col min="9736" max="9736" width="12.28515625" style="457" bestFit="1" customWidth="1"/>
    <col min="9737" max="9964" width="9.140625" style="457"/>
    <col min="9965" max="9965" width="5.5703125" style="457" customWidth="1"/>
    <col min="9966" max="9966" width="66.140625" style="457" customWidth="1"/>
    <col min="9967" max="9990" width="14.85546875" style="457" customWidth="1"/>
    <col min="9991" max="9991" width="9.140625" style="457"/>
    <col min="9992" max="9992" width="12.28515625" style="457" bestFit="1" customWidth="1"/>
    <col min="9993" max="10220" width="9.140625" style="457"/>
    <col min="10221" max="10221" width="5.5703125" style="457" customWidth="1"/>
    <col min="10222" max="10222" width="66.140625" style="457" customWidth="1"/>
    <col min="10223" max="10246" width="14.85546875" style="457" customWidth="1"/>
    <col min="10247" max="10247" width="9.140625" style="457"/>
    <col min="10248" max="10248" width="12.28515625" style="457" bestFit="1" customWidth="1"/>
    <col min="10249" max="10476" width="9.140625" style="457"/>
    <col min="10477" max="10477" width="5.5703125" style="457" customWidth="1"/>
    <col min="10478" max="10478" width="66.140625" style="457" customWidth="1"/>
    <col min="10479" max="10502" width="14.85546875" style="457" customWidth="1"/>
    <col min="10503" max="10503" width="9.140625" style="457"/>
    <col min="10504" max="10504" width="12.28515625" style="457" bestFit="1" customWidth="1"/>
    <col min="10505" max="10732" width="9.140625" style="457"/>
    <col min="10733" max="10733" width="5.5703125" style="457" customWidth="1"/>
    <col min="10734" max="10734" width="66.140625" style="457" customWidth="1"/>
    <col min="10735" max="10758" width="14.85546875" style="457" customWidth="1"/>
    <col min="10759" max="10759" width="9.140625" style="457"/>
    <col min="10760" max="10760" width="12.28515625" style="457" bestFit="1" customWidth="1"/>
    <col min="10761" max="10988" width="9.140625" style="457"/>
    <col min="10989" max="10989" width="5.5703125" style="457" customWidth="1"/>
    <col min="10990" max="10990" width="66.140625" style="457" customWidth="1"/>
    <col min="10991" max="11014" width="14.85546875" style="457" customWidth="1"/>
    <col min="11015" max="11015" width="9.140625" style="457"/>
    <col min="11016" max="11016" width="12.28515625" style="457" bestFit="1" customWidth="1"/>
    <col min="11017" max="11244" width="9.140625" style="457"/>
    <col min="11245" max="11245" width="5.5703125" style="457" customWidth="1"/>
    <col min="11246" max="11246" width="66.140625" style="457" customWidth="1"/>
    <col min="11247" max="11270" width="14.85546875" style="457" customWidth="1"/>
    <col min="11271" max="11271" width="9.140625" style="457"/>
    <col min="11272" max="11272" width="12.28515625" style="457" bestFit="1" customWidth="1"/>
    <col min="11273" max="11500" width="9.140625" style="457"/>
    <col min="11501" max="11501" width="5.5703125" style="457" customWidth="1"/>
    <col min="11502" max="11502" width="66.140625" style="457" customWidth="1"/>
    <col min="11503" max="11526" width="14.85546875" style="457" customWidth="1"/>
    <col min="11527" max="11527" width="9.140625" style="457"/>
    <col min="11528" max="11528" width="12.28515625" style="457" bestFit="1" customWidth="1"/>
    <col min="11529" max="11756" width="9.140625" style="457"/>
    <col min="11757" max="11757" width="5.5703125" style="457" customWidth="1"/>
    <col min="11758" max="11758" width="66.140625" style="457" customWidth="1"/>
    <col min="11759" max="11782" width="14.85546875" style="457" customWidth="1"/>
    <col min="11783" max="11783" width="9.140625" style="457"/>
    <col min="11784" max="11784" width="12.28515625" style="457" bestFit="1" customWidth="1"/>
    <col min="11785" max="12012" width="9.140625" style="457"/>
    <col min="12013" max="12013" width="5.5703125" style="457" customWidth="1"/>
    <col min="12014" max="12014" width="66.140625" style="457" customWidth="1"/>
    <col min="12015" max="12038" width="14.85546875" style="457" customWidth="1"/>
    <col min="12039" max="12039" width="9.140625" style="457"/>
    <col min="12040" max="12040" width="12.28515625" style="457" bestFit="1" customWidth="1"/>
    <col min="12041" max="12268" width="9.140625" style="457"/>
    <col min="12269" max="12269" width="5.5703125" style="457" customWidth="1"/>
    <col min="12270" max="12270" width="66.140625" style="457" customWidth="1"/>
    <col min="12271" max="12294" width="14.85546875" style="457" customWidth="1"/>
    <col min="12295" max="12295" width="9.140625" style="457"/>
    <col min="12296" max="12296" width="12.28515625" style="457" bestFit="1" customWidth="1"/>
    <col min="12297" max="12524" width="9.140625" style="457"/>
    <col min="12525" max="12525" width="5.5703125" style="457" customWidth="1"/>
    <col min="12526" max="12526" width="66.140625" style="457" customWidth="1"/>
    <col min="12527" max="12550" width="14.85546875" style="457" customWidth="1"/>
    <col min="12551" max="12551" width="9.140625" style="457"/>
    <col min="12552" max="12552" width="12.28515625" style="457" bestFit="1" customWidth="1"/>
    <col min="12553" max="12780" width="9.140625" style="457"/>
    <col min="12781" max="12781" width="5.5703125" style="457" customWidth="1"/>
    <col min="12782" max="12782" width="66.140625" style="457" customWidth="1"/>
    <col min="12783" max="12806" width="14.85546875" style="457" customWidth="1"/>
    <col min="12807" max="12807" width="9.140625" style="457"/>
    <col min="12808" max="12808" width="12.28515625" style="457" bestFit="1" customWidth="1"/>
    <col min="12809" max="13036" width="9.140625" style="457"/>
    <col min="13037" max="13037" width="5.5703125" style="457" customWidth="1"/>
    <col min="13038" max="13038" width="66.140625" style="457" customWidth="1"/>
    <col min="13039" max="13062" width="14.85546875" style="457" customWidth="1"/>
    <col min="13063" max="13063" width="9.140625" style="457"/>
    <col min="13064" max="13064" width="12.28515625" style="457" bestFit="1" customWidth="1"/>
    <col min="13065" max="13292" width="9.140625" style="457"/>
    <col min="13293" max="13293" width="5.5703125" style="457" customWidth="1"/>
    <col min="13294" max="13294" width="66.140625" style="457" customWidth="1"/>
    <col min="13295" max="13318" width="14.85546875" style="457" customWidth="1"/>
    <col min="13319" max="13319" width="9.140625" style="457"/>
    <col min="13320" max="13320" width="12.28515625" style="457" bestFit="1" customWidth="1"/>
    <col min="13321" max="13548" width="9.140625" style="457"/>
    <col min="13549" max="13549" width="5.5703125" style="457" customWidth="1"/>
    <col min="13550" max="13550" width="66.140625" style="457" customWidth="1"/>
    <col min="13551" max="13574" width="14.85546875" style="457" customWidth="1"/>
    <col min="13575" max="13575" width="9.140625" style="457"/>
    <col min="13576" max="13576" width="12.28515625" style="457" bestFit="1" customWidth="1"/>
    <col min="13577" max="13804" width="9.140625" style="457"/>
    <col min="13805" max="13805" width="5.5703125" style="457" customWidth="1"/>
    <col min="13806" max="13806" width="66.140625" style="457" customWidth="1"/>
    <col min="13807" max="13830" width="14.85546875" style="457" customWidth="1"/>
    <col min="13831" max="13831" width="9.140625" style="457"/>
    <col min="13832" max="13832" width="12.28515625" style="457" bestFit="1" customWidth="1"/>
    <col min="13833" max="14060" width="9.140625" style="457"/>
    <col min="14061" max="14061" width="5.5703125" style="457" customWidth="1"/>
    <col min="14062" max="14062" width="66.140625" style="457" customWidth="1"/>
    <col min="14063" max="14086" width="14.85546875" style="457" customWidth="1"/>
    <col min="14087" max="14087" width="9.140625" style="457"/>
    <col min="14088" max="14088" width="12.28515625" style="457" bestFit="1" customWidth="1"/>
    <col min="14089" max="14316" width="9.140625" style="457"/>
    <col min="14317" max="14317" width="5.5703125" style="457" customWidth="1"/>
    <col min="14318" max="14318" width="66.140625" style="457" customWidth="1"/>
    <col min="14319" max="14342" width="14.85546875" style="457" customWidth="1"/>
    <col min="14343" max="14343" width="9.140625" style="457"/>
    <col min="14344" max="14344" width="12.28515625" style="457" bestFit="1" customWidth="1"/>
    <col min="14345" max="14572" width="9.140625" style="457"/>
    <col min="14573" max="14573" width="5.5703125" style="457" customWidth="1"/>
    <col min="14574" max="14574" width="66.140625" style="457" customWidth="1"/>
    <col min="14575" max="14598" width="14.85546875" style="457" customWidth="1"/>
    <col min="14599" max="14599" width="9.140625" style="457"/>
    <col min="14600" max="14600" width="12.28515625" style="457" bestFit="1" customWidth="1"/>
    <col min="14601" max="14828" width="9.140625" style="457"/>
    <col min="14829" max="14829" width="5.5703125" style="457" customWidth="1"/>
    <col min="14830" max="14830" width="66.140625" style="457" customWidth="1"/>
    <col min="14831" max="14854" width="14.85546875" style="457" customWidth="1"/>
    <col min="14855" max="14855" width="9.140625" style="457"/>
    <col min="14856" max="14856" width="12.28515625" style="457" bestFit="1" customWidth="1"/>
    <col min="14857" max="15084" width="9.140625" style="457"/>
    <col min="15085" max="15085" width="5.5703125" style="457" customWidth="1"/>
    <col min="15086" max="15086" width="66.140625" style="457" customWidth="1"/>
    <col min="15087" max="15110" width="14.85546875" style="457" customWidth="1"/>
    <col min="15111" max="15111" width="9.140625" style="457"/>
    <col min="15112" max="15112" width="12.28515625" style="457" bestFit="1" customWidth="1"/>
    <col min="15113" max="15340" width="9.140625" style="457"/>
    <col min="15341" max="15341" width="5.5703125" style="457" customWidth="1"/>
    <col min="15342" max="15342" width="66.140625" style="457" customWidth="1"/>
    <col min="15343" max="15366" width="14.85546875" style="457" customWidth="1"/>
    <col min="15367" max="15367" width="9.140625" style="457"/>
    <col min="15368" max="15368" width="12.28515625" style="457" bestFit="1" customWidth="1"/>
    <col min="15369" max="15596" width="9.140625" style="457"/>
    <col min="15597" max="15597" width="5.5703125" style="457" customWidth="1"/>
    <col min="15598" max="15598" width="66.140625" style="457" customWidth="1"/>
    <col min="15599" max="15622" width="14.85546875" style="457" customWidth="1"/>
    <col min="15623" max="15623" width="9.140625" style="457"/>
    <col min="15624" max="15624" width="12.28515625" style="457" bestFit="1" customWidth="1"/>
    <col min="15625" max="15852" width="9.140625" style="457"/>
    <col min="15853" max="15853" width="5.5703125" style="457" customWidth="1"/>
    <col min="15854" max="15854" width="66.140625" style="457" customWidth="1"/>
    <col min="15855" max="15878" width="14.85546875" style="457" customWidth="1"/>
    <col min="15879" max="15879" width="9.140625" style="457"/>
    <col min="15880" max="15880" width="12.28515625" style="457" bestFit="1" customWidth="1"/>
    <col min="15881" max="16108" width="9.140625" style="457"/>
    <col min="16109" max="16109" width="5.5703125" style="457" customWidth="1"/>
    <col min="16110" max="16110" width="66.140625" style="457" customWidth="1"/>
    <col min="16111" max="16134" width="14.85546875" style="457" customWidth="1"/>
    <col min="16135" max="16135" width="9.140625" style="457"/>
    <col min="16136" max="16136" width="12.28515625" style="457" bestFit="1" customWidth="1"/>
    <col min="16137" max="16384" width="9.140625" style="457"/>
  </cols>
  <sheetData>
    <row r="1" spans="1:8" ht="46.5" customHeight="1" x14ac:dyDescent="0.2">
      <c r="A1" s="629"/>
      <c r="B1" s="888" t="s">
        <v>866</v>
      </c>
      <c r="C1" s="888"/>
      <c r="D1" s="888"/>
      <c r="E1" s="888"/>
      <c r="F1" s="888"/>
    </row>
    <row r="2" spans="1:8" s="638" customFormat="1" ht="35.25" customHeight="1" x14ac:dyDescent="0.2">
      <c r="A2" s="634" t="s">
        <v>1</v>
      </c>
      <c r="B2" s="635" t="s">
        <v>2</v>
      </c>
      <c r="C2" s="636" t="s">
        <v>1459</v>
      </c>
      <c r="D2" s="637" t="s">
        <v>867</v>
      </c>
      <c r="E2" s="637" t="s">
        <v>868</v>
      </c>
      <c r="F2" s="637" t="s">
        <v>1460</v>
      </c>
    </row>
    <row r="3" spans="1:8" s="642" customFormat="1" ht="21" customHeight="1" x14ac:dyDescent="0.2">
      <c r="A3" s="639" t="s">
        <v>3</v>
      </c>
      <c r="B3" s="639" t="s">
        <v>796</v>
      </c>
      <c r="C3" s="640">
        <v>3136082</v>
      </c>
      <c r="D3" s="641">
        <v>2656028</v>
      </c>
      <c r="E3" s="641">
        <f>+D3*1.001</f>
        <v>2658684.0279999999</v>
      </c>
      <c r="F3" s="641">
        <f t="shared" ref="F3" si="0">+E3*1.001</f>
        <v>2661342.7120279996</v>
      </c>
    </row>
    <row r="4" spans="1:8" s="642" customFormat="1" ht="21" customHeight="1" x14ac:dyDescent="0.2">
      <c r="A4" s="639" t="s">
        <v>4</v>
      </c>
      <c r="B4" s="639" t="s">
        <v>797</v>
      </c>
      <c r="C4" s="640">
        <v>5500</v>
      </c>
      <c r="D4" s="641">
        <v>0</v>
      </c>
      <c r="E4" s="641">
        <v>0</v>
      </c>
      <c r="F4" s="641">
        <v>0</v>
      </c>
    </row>
    <row r="5" spans="1:8" s="642" customFormat="1" ht="21" customHeight="1" x14ac:dyDescent="0.2">
      <c r="A5" s="639" t="s">
        <v>5</v>
      </c>
      <c r="B5" s="639" t="s">
        <v>798</v>
      </c>
      <c r="C5" s="640">
        <v>5989</v>
      </c>
      <c r="D5" s="641">
        <v>5550</v>
      </c>
      <c r="E5" s="641">
        <v>5550</v>
      </c>
      <c r="F5" s="641">
        <v>5550</v>
      </c>
    </row>
    <row r="6" spans="1:8" s="642" customFormat="1" ht="33.75" customHeight="1" x14ac:dyDescent="0.2">
      <c r="A6" s="639" t="s">
        <v>6</v>
      </c>
      <c r="B6" s="639" t="s">
        <v>799</v>
      </c>
      <c r="C6" s="640">
        <v>218132</v>
      </c>
      <c r="D6" s="641">
        <v>205338</v>
      </c>
      <c r="E6" s="641">
        <f>+D6*1.005</f>
        <v>206364.68999999997</v>
      </c>
      <c r="F6" s="641">
        <f>+E6*1.005</f>
        <v>207396.51344999994</v>
      </c>
    </row>
    <row r="7" spans="1:8" s="642" customFormat="1" ht="21" customHeight="1" x14ac:dyDescent="0.2">
      <c r="A7" s="639" t="s">
        <v>7</v>
      </c>
      <c r="B7" s="639" t="s">
        <v>800</v>
      </c>
      <c r="C7" s="640">
        <v>5500</v>
      </c>
      <c r="D7" s="641">
        <v>11000</v>
      </c>
      <c r="E7" s="641">
        <v>0</v>
      </c>
      <c r="F7" s="641">
        <v>0</v>
      </c>
    </row>
    <row r="8" spans="1:8" s="642" customFormat="1" ht="21" customHeight="1" x14ac:dyDescent="0.2">
      <c r="A8" s="639" t="s">
        <v>8</v>
      </c>
      <c r="B8" s="639" t="s">
        <v>801</v>
      </c>
      <c r="C8" s="640"/>
      <c r="D8" s="641">
        <v>0</v>
      </c>
      <c r="E8" s="641">
        <v>0</v>
      </c>
      <c r="F8" s="641">
        <v>0</v>
      </c>
    </row>
    <row r="9" spans="1:8" s="642" customFormat="1" ht="21" customHeight="1" x14ac:dyDescent="0.2">
      <c r="A9" s="639" t="s">
        <v>9</v>
      </c>
      <c r="B9" s="639" t="s">
        <v>802</v>
      </c>
      <c r="C9" s="640"/>
      <c r="D9" s="641">
        <v>0</v>
      </c>
      <c r="E9" s="641">
        <v>0</v>
      </c>
      <c r="F9" s="641">
        <v>0</v>
      </c>
    </row>
    <row r="10" spans="1:8" s="642" customFormat="1" ht="21" customHeight="1" x14ac:dyDescent="0.2">
      <c r="A10" s="639" t="s">
        <v>23</v>
      </c>
      <c r="B10" s="643" t="s">
        <v>803</v>
      </c>
      <c r="C10" s="644">
        <f t="shared" ref="C10:F10" si="1">SUM(C3:C9)</f>
        <v>3371203</v>
      </c>
      <c r="D10" s="644">
        <f t="shared" si="1"/>
        <v>2877916</v>
      </c>
      <c r="E10" s="644">
        <f t="shared" si="1"/>
        <v>2870598.7179999999</v>
      </c>
      <c r="F10" s="644">
        <f t="shared" si="1"/>
        <v>2874289.2254779995</v>
      </c>
    </row>
    <row r="11" spans="1:8" s="642" customFormat="1" ht="21" customHeight="1" x14ac:dyDescent="0.2">
      <c r="A11" s="639" t="s">
        <v>25</v>
      </c>
      <c r="B11" s="643" t="s">
        <v>804</v>
      </c>
      <c r="C11" s="644">
        <f t="shared" ref="C11:F11" si="2">C10*0.5</f>
        <v>1685601.5</v>
      </c>
      <c r="D11" s="644">
        <f t="shared" si="2"/>
        <v>1438958</v>
      </c>
      <c r="E11" s="644">
        <f t="shared" si="2"/>
        <v>1435299.3589999999</v>
      </c>
      <c r="F11" s="644">
        <f t="shared" si="2"/>
        <v>1437144.6127389998</v>
      </c>
    </row>
    <row r="12" spans="1:8" s="642" customFormat="1" ht="30" x14ac:dyDescent="0.2">
      <c r="A12" s="639" t="s">
        <v>27</v>
      </c>
      <c r="B12" s="643" t="s">
        <v>805</v>
      </c>
      <c r="C12" s="644">
        <f t="shared" ref="C12:F12" si="3">C13+C22+C23+C24+C25+C26+C27+C28</f>
        <v>22298</v>
      </c>
      <c r="D12" s="644">
        <f t="shared" si="3"/>
        <v>33294</v>
      </c>
      <c r="E12" s="644">
        <f t="shared" si="3"/>
        <v>54268</v>
      </c>
      <c r="F12" s="644">
        <f t="shared" si="3"/>
        <v>55484</v>
      </c>
    </row>
    <row r="13" spans="1:8" ht="21" customHeight="1" x14ac:dyDescent="0.2">
      <c r="A13" s="645" t="s">
        <v>31</v>
      </c>
      <c r="B13" s="639" t="s">
        <v>806</v>
      </c>
      <c r="C13" s="641">
        <f>+C14+C18</f>
        <v>22298</v>
      </c>
      <c r="D13" s="641">
        <f t="shared" ref="D13:F13" si="4">+D14+D18</f>
        <v>33294</v>
      </c>
      <c r="E13" s="641">
        <f t="shared" si="4"/>
        <v>54268</v>
      </c>
      <c r="F13" s="641">
        <f t="shared" si="4"/>
        <v>55484</v>
      </c>
    </row>
    <row r="14" spans="1:8" ht="21" customHeight="1" x14ac:dyDescent="0.2">
      <c r="A14" s="645" t="s">
        <v>33</v>
      </c>
      <c r="B14" s="639" t="s">
        <v>807</v>
      </c>
      <c r="C14" s="640"/>
      <c r="D14" s="641">
        <f t="shared" ref="D14:F14" si="5">+D15+D16+D17</f>
        <v>3530</v>
      </c>
      <c r="E14" s="641">
        <f t="shared" si="5"/>
        <v>25082</v>
      </c>
      <c r="F14" s="641">
        <f t="shared" si="5"/>
        <v>28183</v>
      </c>
    </row>
    <row r="15" spans="1:8" ht="15.75" customHeight="1" x14ac:dyDescent="0.2">
      <c r="A15" s="645" t="s">
        <v>808</v>
      </c>
      <c r="B15" s="639" t="s">
        <v>809</v>
      </c>
      <c r="C15" s="640"/>
      <c r="D15" s="641">
        <v>2436</v>
      </c>
      <c r="E15" s="641">
        <v>9744</v>
      </c>
      <c r="F15" s="641">
        <v>9744</v>
      </c>
      <c r="H15" s="646"/>
    </row>
    <row r="16" spans="1:8" ht="30" x14ac:dyDescent="0.2">
      <c r="A16" s="645" t="s">
        <v>810</v>
      </c>
      <c r="B16" s="639" t="s">
        <v>811</v>
      </c>
      <c r="C16" s="640"/>
      <c r="D16" s="641">
        <v>1094</v>
      </c>
      <c r="E16" s="641">
        <v>4376</v>
      </c>
      <c r="F16" s="641">
        <v>4376</v>
      </c>
      <c r="H16" s="646"/>
    </row>
    <row r="17" spans="1:8" s="403" customFormat="1" ht="17.25" customHeight="1" x14ac:dyDescent="0.2">
      <c r="A17" s="639" t="s">
        <v>812</v>
      </c>
      <c r="B17" s="639" t="s">
        <v>813</v>
      </c>
      <c r="C17" s="640"/>
      <c r="D17" s="641">
        <v>0</v>
      </c>
      <c r="E17" s="641">
        <v>10962</v>
      </c>
      <c r="F17" s="641">
        <v>14063</v>
      </c>
      <c r="H17" s="646"/>
    </row>
    <row r="18" spans="1:8" s="403" customFormat="1" ht="15.75" customHeight="1" x14ac:dyDescent="0.2">
      <c r="A18" s="639" t="s">
        <v>34</v>
      </c>
      <c r="B18" s="639" t="s">
        <v>814</v>
      </c>
      <c r="C18" s="641">
        <f>SUM(C19:C21)</f>
        <v>22298</v>
      </c>
      <c r="D18" s="641">
        <f>SUM(D19:D21)</f>
        <v>29764</v>
      </c>
      <c r="E18" s="641">
        <f t="shared" ref="E18:F18" si="6">SUM(E19:E21)</f>
        <v>29186</v>
      </c>
      <c r="F18" s="641">
        <f t="shared" si="6"/>
        <v>27301</v>
      </c>
      <c r="H18" s="646"/>
    </row>
    <row r="19" spans="1:8" s="403" customFormat="1" ht="17.25" customHeight="1" x14ac:dyDescent="0.2">
      <c r="A19" s="639" t="s">
        <v>815</v>
      </c>
      <c r="B19" s="639" t="s">
        <v>809</v>
      </c>
      <c r="C19" s="640">
        <v>7895</v>
      </c>
      <c r="D19" s="641">
        <v>10353</v>
      </c>
      <c r="E19" s="641">
        <v>10048</v>
      </c>
      <c r="F19" s="641">
        <v>9561</v>
      </c>
      <c r="H19" s="646"/>
    </row>
    <row r="20" spans="1:8" s="403" customFormat="1" ht="30" x14ac:dyDescent="0.2">
      <c r="A20" s="639" t="s">
        <v>816</v>
      </c>
      <c r="B20" s="639" t="s">
        <v>811</v>
      </c>
      <c r="C20" s="640">
        <v>3544</v>
      </c>
      <c r="D20" s="641">
        <v>4647</v>
      </c>
      <c r="E20" s="641">
        <v>4511</v>
      </c>
      <c r="F20" s="641">
        <v>4292</v>
      </c>
      <c r="H20" s="646"/>
    </row>
    <row r="21" spans="1:8" s="647" customFormat="1" ht="15" x14ac:dyDescent="0.2">
      <c r="A21" s="639" t="s">
        <v>817</v>
      </c>
      <c r="B21" s="639" t="s">
        <v>813</v>
      </c>
      <c r="C21" s="640">
        <v>10859</v>
      </c>
      <c r="D21" s="641">
        <v>14764</v>
      </c>
      <c r="E21" s="641">
        <v>14627</v>
      </c>
      <c r="F21" s="641">
        <v>13448</v>
      </c>
      <c r="H21" s="648"/>
    </row>
    <row r="22" spans="1:8" s="403" customFormat="1" ht="20.25" customHeight="1" x14ac:dyDescent="0.2">
      <c r="A22" s="639" t="s">
        <v>36</v>
      </c>
      <c r="B22" s="639" t="s">
        <v>818</v>
      </c>
      <c r="C22" s="640"/>
      <c r="D22" s="641"/>
      <c r="E22" s="641"/>
      <c r="F22" s="641"/>
    </row>
    <row r="23" spans="1:8" s="403" customFormat="1" ht="21" customHeight="1" x14ac:dyDescent="0.2">
      <c r="A23" s="639" t="s">
        <v>38</v>
      </c>
      <c r="B23" s="639" t="s">
        <v>819</v>
      </c>
      <c r="C23" s="640"/>
      <c r="D23" s="641"/>
      <c r="E23" s="641"/>
      <c r="F23" s="641"/>
    </row>
    <row r="24" spans="1:8" s="403" customFormat="1" ht="21" customHeight="1" x14ac:dyDescent="0.2">
      <c r="A24" s="639" t="s">
        <v>40</v>
      </c>
      <c r="B24" s="639" t="s">
        <v>820</v>
      </c>
      <c r="C24" s="640"/>
      <c r="D24" s="641"/>
      <c r="E24" s="641"/>
      <c r="F24" s="641"/>
    </row>
    <row r="25" spans="1:8" s="403" customFormat="1" ht="20.25" customHeight="1" x14ac:dyDescent="0.2">
      <c r="A25" s="639" t="s">
        <v>50</v>
      </c>
      <c r="B25" s="639" t="s">
        <v>821</v>
      </c>
      <c r="C25" s="640"/>
      <c r="D25" s="641"/>
      <c r="E25" s="641"/>
      <c r="F25" s="641"/>
    </row>
    <row r="26" spans="1:8" s="403" customFormat="1" ht="20.25" customHeight="1" x14ac:dyDescent="0.2">
      <c r="A26" s="639" t="s">
        <v>52</v>
      </c>
      <c r="B26" s="639" t="s">
        <v>822</v>
      </c>
      <c r="C26" s="640"/>
      <c r="D26" s="641"/>
      <c r="E26" s="641"/>
      <c r="F26" s="641"/>
    </row>
    <row r="27" spans="1:8" s="403" customFormat="1" ht="22.5" customHeight="1" x14ac:dyDescent="0.2">
      <c r="A27" s="639" t="s">
        <v>77</v>
      </c>
      <c r="B27" s="639" t="s">
        <v>823</v>
      </c>
      <c r="C27" s="640"/>
      <c r="D27" s="641"/>
      <c r="E27" s="641"/>
      <c r="F27" s="641"/>
    </row>
    <row r="28" spans="1:8" s="403" customFormat="1" ht="22.5" customHeight="1" x14ac:dyDescent="0.2">
      <c r="A28" s="639" t="s">
        <v>78</v>
      </c>
      <c r="B28" s="639" t="s">
        <v>824</v>
      </c>
      <c r="C28" s="640"/>
      <c r="D28" s="641"/>
      <c r="E28" s="641"/>
      <c r="F28" s="641"/>
    </row>
    <row r="29" spans="1:8" s="403" customFormat="1" ht="30" x14ac:dyDescent="0.2">
      <c r="A29" s="639" t="s">
        <v>79</v>
      </c>
      <c r="B29" s="643" t="s">
        <v>825</v>
      </c>
      <c r="C29" s="644">
        <f t="shared" ref="C29:F29" si="7">C30+C39+C40+C41+C42+C43+C44+C45</f>
        <v>0</v>
      </c>
      <c r="D29" s="644">
        <f t="shared" si="7"/>
        <v>0</v>
      </c>
      <c r="E29" s="644">
        <f t="shared" si="7"/>
        <v>0</v>
      </c>
      <c r="F29" s="644">
        <f t="shared" si="7"/>
        <v>0</v>
      </c>
    </row>
    <row r="30" spans="1:8" s="403" customFormat="1" ht="18.75" customHeight="1" x14ac:dyDescent="0.2">
      <c r="A30" s="639" t="s">
        <v>80</v>
      </c>
      <c r="B30" s="639" t="s">
        <v>826</v>
      </c>
      <c r="C30" s="640"/>
      <c r="D30" s="641">
        <f t="shared" ref="D30:F30" si="8">SUM(D31:D35)</f>
        <v>0</v>
      </c>
      <c r="E30" s="641">
        <f t="shared" si="8"/>
        <v>0</v>
      </c>
      <c r="F30" s="641">
        <f t="shared" si="8"/>
        <v>0</v>
      </c>
    </row>
    <row r="31" spans="1:8" s="403" customFormat="1" ht="18.75" customHeight="1" x14ac:dyDescent="0.2">
      <c r="A31" s="639" t="s">
        <v>81</v>
      </c>
      <c r="B31" s="639" t="s">
        <v>827</v>
      </c>
      <c r="C31" s="640"/>
      <c r="D31" s="641">
        <f>+D32+D33+D34</f>
        <v>0</v>
      </c>
      <c r="E31" s="641">
        <f t="shared" ref="E31:F31" si="9">+E32+E33+E34</f>
        <v>0</v>
      </c>
      <c r="F31" s="641">
        <f t="shared" si="9"/>
        <v>0</v>
      </c>
    </row>
    <row r="32" spans="1:8" s="403" customFormat="1" ht="19.5" customHeight="1" x14ac:dyDescent="0.2">
      <c r="A32" s="639" t="s">
        <v>828</v>
      </c>
      <c r="B32" s="639" t="s">
        <v>809</v>
      </c>
      <c r="C32" s="640"/>
      <c r="D32" s="641"/>
      <c r="E32" s="641"/>
      <c r="F32" s="641"/>
    </row>
    <row r="33" spans="1:7" s="403" customFormat="1" ht="30" x14ac:dyDescent="0.2">
      <c r="A33" s="639" t="s">
        <v>829</v>
      </c>
      <c r="B33" s="639" t="s">
        <v>811</v>
      </c>
      <c r="C33" s="640"/>
      <c r="D33" s="641"/>
      <c r="E33" s="641"/>
      <c r="F33" s="641"/>
    </row>
    <row r="34" spans="1:7" s="403" customFormat="1" ht="18" customHeight="1" x14ac:dyDescent="0.2">
      <c r="A34" s="639" t="s">
        <v>830</v>
      </c>
      <c r="B34" s="639" t="s">
        <v>813</v>
      </c>
      <c r="C34" s="640"/>
      <c r="D34" s="641"/>
      <c r="E34" s="641"/>
      <c r="F34" s="641"/>
    </row>
    <row r="35" spans="1:7" ht="18" customHeight="1" x14ac:dyDescent="0.2">
      <c r="A35" s="645" t="s">
        <v>82</v>
      </c>
      <c r="B35" s="645" t="s">
        <v>831</v>
      </c>
      <c r="C35" s="640"/>
      <c r="D35" s="641">
        <f>+D36+D37+D38</f>
        <v>0</v>
      </c>
      <c r="E35" s="641">
        <f t="shared" ref="E35:F35" si="10">+E36+E37+E38</f>
        <v>0</v>
      </c>
      <c r="F35" s="641">
        <f t="shared" si="10"/>
        <v>0</v>
      </c>
    </row>
    <row r="36" spans="1:7" ht="18" customHeight="1" x14ac:dyDescent="0.2">
      <c r="A36" s="645" t="s">
        <v>832</v>
      </c>
      <c r="B36" s="639" t="s">
        <v>809</v>
      </c>
      <c r="C36" s="640"/>
      <c r="D36" s="641"/>
      <c r="E36" s="641"/>
      <c r="F36" s="641"/>
    </row>
    <row r="37" spans="1:7" ht="30" x14ac:dyDescent="0.2">
      <c r="A37" s="645" t="s">
        <v>833</v>
      </c>
      <c r="B37" s="639" t="s">
        <v>811</v>
      </c>
      <c r="C37" s="640"/>
      <c r="D37" s="641"/>
      <c r="E37" s="641"/>
      <c r="F37" s="641"/>
    </row>
    <row r="38" spans="1:7" s="403" customFormat="1" ht="17.25" customHeight="1" x14ac:dyDescent="0.2">
      <c r="A38" s="639" t="s">
        <v>834</v>
      </c>
      <c r="B38" s="639" t="s">
        <v>813</v>
      </c>
      <c r="C38" s="640"/>
      <c r="D38" s="641"/>
      <c r="E38" s="641"/>
      <c r="F38" s="641"/>
    </row>
    <row r="39" spans="1:7" ht="17.25" customHeight="1" x14ac:dyDescent="0.2">
      <c r="A39" s="645" t="s">
        <v>83</v>
      </c>
      <c r="B39" s="645" t="s">
        <v>818</v>
      </c>
      <c r="C39" s="640"/>
      <c r="D39" s="641"/>
      <c r="E39" s="641"/>
      <c r="F39" s="641"/>
    </row>
    <row r="40" spans="1:7" ht="17.25" customHeight="1" x14ac:dyDescent="0.2">
      <c r="A40" s="645" t="s">
        <v>84</v>
      </c>
      <c r="B40" s="645" t="s">
        <v>819</v>
      </c>
      <c r="C40" s="640"/>
      <c r="D40" s="641"/>
      <c r="E40" s="641"/>
      <c r="F40" s="641"/>
    </row>
    <row r="41" spans="1:7" ht="20.25" customHeight="1" x14ac:dyDescent="0.2">
      <c r="A41" s="645" t="s">
        <v>85</v>
      </c>
      <c r="B41" s="645" t="s">
        <v>820</v>
      </c>
      <c r="C41" s="640"/>
      <c r="D41" s="641"/>
      <c r="E41" s="641"/>
      <c r="F41" s="641"/>
    </row>
    <row r="42" spans="1:7" ht="20.25" customHeight="1" x14ac:dyDescent="0.2">
      <c r="A42" s="645" t="s">
        <v>86</v>
      </c>
      <c r="B42" s="645" t="s">
        <v>821</v>
      </c>
      <c r="C42" s="640"/>
      <c r="D42" s="641"/>
      <c r="E42" s="641"/>
      <c r="F42" s="641"/>
    </row>
    <row r="43" spans="1:7" ht="20.25" customHeight="1" x14ac:dyDescent="0.2">
      <c r="A43" s="645" t="s">
        <v>643</v>
      </c>
      <c r="B43" s="645" t="s">
        <v>822</v>
      </c>
      <c r="C43" s="640"/>
      <c r="D43" s="641"/>
      <c r="E43" s="641"/>
      <c r="F43" s="641"/>
    </row>
    <row r="44" spans="1:7" ht="20.25" customHeight="1" x14ac:dyDescent="0.2">
      <c r="A44" s="645" t="s">
        <v>644</v>
      </c>
      <c r="B44" s="645" t="s">
        <v>823</v>
      </c>
      <c r="C44" s="640"/>
      <c r="D44" s="641"/>
      <c r="E44" s="641"/>
      <c r="F44" s="641"/>
    </row>
    <row r="45" spans="1:7" ht="20.25" customHeight="1" x14ac:dyDescent="0.2">
      <c r="A45" s="645" t="s">
        <v>645</v>
      </c>
      <c r="B45" s="645" t="s">
        <v>824</v>
      </c>
      <c r="C45" s="640"/>
      <c r="D45" s="641"/>
      <c r="E45" s="641"/>
      <c r="F45" s="641"/>
    </row>
    <row r="46" spans="1:7" ht="20.25" customHeight="1" x14ac:dyDescent="0.2">
      <c r="A46" s="645" t="s">
        <v>646</v>
      </c>
      <c r="B46" s="635" t="s">
        <v>835</v>
      </c>
      <c r="C46" s="644">
        <f t="shared" ref="C46" si="11">SUM(C12+C29)</f>
        <v>22298</v>
      </c>
      <c r="D46" s="644">
        <f t="shared" ref="D46:F46" si="12">SUM(D12+D29)</f>
        <v>33294</v>
      </c>
      <c r="E46" s="644">
        <f t="shared" si="12"/>
        <v>54268</v>
      </c>
      <c r="F46" s="644">
        <f t="shared" si="12"/>
        <v>55484</v>
      </c>
    </row>
    <row r="47" spans="1:7" ht="15" x14ac:dyDescent="0.2">
      <c r="A47" s="645" t="s">
        <v>647</v>
      </c>
      <c r="B47" s="635" t="s">
        <v>836</v>
      </c>
      <c r="C47" s="644">
        <f t="shared" ref="C47" si="13">C11-C46</f>
        <v>1663303.5</v>
      </c>
      <c r="D47" s="644">
        <f t="shared" ref="D47:F47" si="14">D11-D46</f>
        <v>1405664</v>
      </c>
      <c r="E47" s="644">
        <f t="shared" si="14"/>
        <v>1381031.3589999999</v>
      </c>
      <c r="F47" s="644">
        <f t="shared" si="14"/>
        <v>1381660.6127389998</v>
      </c>
    </row>
    <row r="48" spans="1:7" ht="15" x14ac:dyDescent="0.2">
      <c r="A48" s="624"/>
      <c r="B48" s="624" t="s">
        <v>837</v>
      </c>
      <c r="C48" s="625"/>
      <c r="D48" s="626"/>
      <c r="E48" s="624" t="s">
        <v>837</v>
      </c>
      <c r="F48" s="625"/>
      <c r="G48" s="626"/>
    </row>
    <row r="49" spans="1:8" ht="15" x14ac:dyDescent="0.2">
      <c r="A49" s="886"/>
      <c r="B49" s="624" t="s">
        <v>838</v>
      </c>
      <c r="C49" s="625"/>
      <c r="D49" s="627">
        <v>491683433</v>
      </c>
      <c r="E49" s="624" t="s">
        <v>838</v>
      </c>
      <c r="F49" s="625"/>
      <c r="G49" s="627">
        <v>455000000</v>
      </c>
    </row>
    <row r="50" spans="1:8" ht="15" x14ac:dyDescent="0.2">
      <c r="A50" s="887"/>
      <c r="B50" s="624" t="s">
        <v>839</v>
      </c>
      <c r="C50" s="625"/>
      <c r="D50" s="628">
        <v>137100278</v>
      </c>
      <c r="E50" s="624" t="s">
        <v>839</v>
      </c>
      <c r="F50" s="625"/>
      <c r="G50" s="628">
        <v>135000000</v>
      </c>
      <c r="H50" s="649"/>
    </row>
    <row r="51" spans="1:8" ht="15" x14ac:dyDescent="0.2">
      <c r="A51" s="887"/>
      <c r="B51" s="624" t="s">
        <v>840</v>
      </c>
      <c r="C51" s="625"/>
      <c r="D51" s="628">
        <v>23332725</v>
      </c>
      <c r="E51" s="624" t="s">
        <v>840</v>
      </c>
      <c r="F51" s="625"/>
      <c r="G51" s="628">
        <v>22200000</v>
      </c>
      <c r="H51" s="649"/>
    </row>
    <row r="52" spans="1:8" ht="15" x14ac:dyDescent="0.2">
      <c r="A52" s="887"/>
      <c r="B52" s="624" t="s">
        <v>842</v>
      </c>
      <c r="C52" s="625"/>
      <c r="D52" s="628">
        <f>186200+1800</f>
        <v>188000</v>
      </c>
      <c r="E52" s="624" t="s">
        <v>842</v>
      </c>
      <c r="F52" s="625"/>
      <c r="G52" s="628">
        <f>160000+20000</f>
        <v>180000</v>
      </c>
      <c r="H52" s="649"/>
    </row>
    <row r="53" spans="1:8" ht="15" x14ac:dyDescent="0.2">
      <c r="A53" s="887"/>
      <c r="B53" s="624" t="s">
        <v>844</v>
      </c>
      <c r="C53" s="625"/>
      <c r="D53" s="628">
        <v>2483777773</v>
      </c>
      <c r="E53" s="624" t="s">
        <v>844</v>
      </c>
      <c r="F53" s="625"/>
      <c r="G53" s="628">
        <v>2200000000</v>
      </c>
    </row>
    <row r="54" spans="1:8" ht="30" x14ac:dyDescent="0.2">
      <c r="A54" s="887"/>
      <c r="B54" s="624" t="s">
        <v>845</v>
      </c>
      <c r="C54" s="625"/>
      <c r="D54" s="628">
        <v>0</v>
      </c>
      <c r="E54" s="624" t="s">
        <v>845</v>
      </c>
      <c r="F54" s="625"/>
      <c r="G54" s="628">
        <v>68971675</v>
      </c>
    </row>
    <row r="55" spans="1:8" ht="15" x14ac:dyDescent="0.2">
      <c r="A55" s="887"/>
      <c r="B55" s="629" t="s">
        <v>106</v>
      </c>
      <c r="C55" s="630"/>
      <c r="D55" s="631">
        <f>SUM(D49:D54)</f>
        <v>3136082209</v>
      </c>
      <c r="E55" s="629" t="s">
        <v>106</v>
      </c>
      <c r="F55" s="630"/>
      <c r="G55" s="631">
        <f>SUM(G49:G54)</f>
        <v>2881351675</v>
      </c>
    </row>
    <row r="56" spans="1:8" ht="15" x14ac:dyDescent="0.2">
      <c r="A56" s="650"/>
      <c r="B56" s="624" t="s">
        <v>846</v>
      </c>
      <c r="C56" s="625"/>
      <c r="D56" s="628"/>
      <c r="E56" s="624" t="s">
        <v>846</v>
      </c>
      <c r="F56" s="625"/>
      <c r="G56" s="628"/>
    </row>
    <row r="57" spans="1:8" ht="45" x14ac:dyDescent="0.2">
      <c r="A57" s="650"/>
      <c r="B57" s="624" t="s">
        <v>847</v>
      </c>
      <c r="C57" s="625"/>
      <c r="D57" s="628">
        <v>4949506</v>
      </c>
      <c r="E57" s="624" t="s">
        <v>847</v>
      </c>
      <c r="F57" s="625"/>
      <c r="G57" s="628">
        <v>5000000</v>
      </c>
    </row>
    <row r="58" spans="1:8" ht="30" x14ac:dyDescent="0.2">
      <c r="A58" s="650"/>
      <c r="B58" s="624" t="s">
        <v>848</v>
      </c>
      <c r="C58" s="625"/>
      <c r="D58" s="628">
        <v>1039207</v>
      </c>
      <c r="E58" s="624" t="s">
        <v>848</v>
      </c>
      <c r="F58" s="625"/>
      <c r="G58" s="628">
        <v>1886480</v>
      </c>
    </row>
    <row r="59" spans="1:8" ht="15" x14ac:dyDescent="0.2">
      <c r="A59" s="651"/>
      <c r="B59" s="629" t="s">
        <v>106</v>
      </c>
      <c r="C59" s="630"/>
      <c r="D59" s="631">
        <f>SUM(D57:D58)</f>
        <v>5988713</v>
      </c>
      <c r="E59" s="629" t="s">
        <v>106</v>
      </c>
      <c r="F59" s="630"/>
      <c r="G59" s="631">
        <f>SUM(G57:G58)</f>
        <v>6886480</v>
      </c>
    </row>
    <row r="60" spans="1:8" ht="15" x14ac:dyDescent="0.2">
      <c r="A60" s="650"/>
      <c r="B60" s="624" t="s">
        <v>849</v>
      </c>
      <c r="C60" s="625"/>
      <c r="D60" s="628"/>
      <c r="E60" s="624" t="s">
        <v>849</v>
      </c>
      <c r="F60" s="625"/>
      <c r="G60" s="628"/>
    </row>
    <row r="61" spans="1:8" ht="30" x14ac:dyDescent="0.2">
      <c r="A61" s="650"/>
      <c r="B61" s="624" t="s">
        <v>870</v>
      </c>
      <c r="C61" s="625"/>
      <c r="D61" s="628">
        <f>764250+18079432</f>
        <v>18843682</v>
      </c>
      <c r="E61" s="624" t="s">
        <v>870</v>
      </c>
      <c r="F61" s="625"/>
      <c r="G61" s="628">
        <v>181626200</v>
      </c>
    </row>
    <row r="62" spans="1:8" ht="30" x14ac:dyDescent="0.2">
      <c r="A62" s="650"/>
      <c r="B62" s="624" t="s">
        <v>869</v>
      </c>
      <c r="C62" s="625"/>
      <c r="D62" s="628">
        <v>30321640</v>
      </c>
      <c r="E62" s="624" t="s">
        <v>869</v>
      </c>
      <c r="F62" s="625"/>
      <c r="G62" s="628">
        <v>11563836</v>
      </c>
    </row>
    <row r="63" spans="1:8" ht="15" x14ac:dyDescent="0.2">
      <c r="A63" s="650"/>
      <c r="B63" s="624" t="s">
        <v>871</v>
      </c>
      <c r="C63" s="625"/>
      <c r="D63" s="628">
        <v>0</v>
      </c>
      <c r="E63" s="624" t="s">
        <v>871</v>
      </c>
      <c r="F63" s="625"/>
      <c r="G63" s="628">
        <v>0</v>
      </c>
    </row>
    <row r="64" spans="1:8" ht="15" x14ac:dyDescent="0.2">
      <c r="A64" s="650"/>
      <c r="B64" s="624" t="s">
        <v>850</v>
      </c>
      <c r="C64" s="625"/>
      <c r="D64" s="628">
        <v>1056218</v>
      </c>
      <c r="E64" s="624" t="s">
        <v>850</v>
      </c>
      <c r="F64" s="625"/>
      <c r="G64" s="628">
        <v>1139076</v>
      </c>
    </row>
    <row r="65" spans="1:7" ht="15" x14ac:dyDescent="0.2">
      <c r="A65" s="650"/>
      <c r="B65" s="624" t="s">
        <v>843</v>
      </c>
      <c r="C65" s="625"/>
      <c r="D65" s="628">
        <v>2358097</v>
      </c>
      <c r="E65" s="624" t="s">
        <v>843</v>
      </c>
      <c r="F65" s="625"/>
      <c r="G65" s="628">
        <v>2100000</v>
      </c>
    </row>
    <row r="66" spans="1:7" ht="15" x14ac:dyDescent="0.2">
      <c r="A66" s="650"/>
      <c r="B66" s="624" t="s">
        <v>851</v>
      </c>
      <c r="C66" s="625"/>
      <c r="D66" s="628">
        <f>28772800+130000000</f>
        <v>158772800</v>
      </c>
      <c r="E66" s="624" t="s">
        <v>851</v>
      </c>
      <c r="F66" s="625"/>
      <c r="G66" s="628">
        <f>65000000+65000000</f>
        <v>130000000</v>
      </c>
    </row>
    <row r="67" spans="1:7" ht="15" x14ac:dyDescent="0.2">
      <c r="A67" s="650"/>
      <c r="B67" s="624" t="s">
        <v>852</v>
      </c>
      <c r="C67" s="625"/>
      <c r="D67" s="628">
        <v>5118650</v>
      </c>
      <c r="E67" s="624" t="s">
        <v>852</v>
      </c>
      <c r="F67" s="625"/>
      <c r="G67" s="628">
        <v>4000000</v>
      </c>
    </row>
    <row r="68" spans="1:7" ht="30" x14ac:dyDescent="0.2">
      <c r="A68" s="650"/>
      <c r="B68" s="624" t="s">
        <v>853</v>
      </c>
      <c r="C68" s="625"/>
      <c r="D68" s="628">
        <v>0</v>
      </c>
      <c r="E68" s="624" t="s">
        <v>853</v>
      </c>
      <c r="F68" s="625"/>
      <c r="G68" s="628">
        <v>0</v>
      </c>
    </row>
    <row r="69" spans="1:7" ht="30" x14ac:dyDescent="0.2">
      <c r="A69" s="650"/>
      <c r="B69" s="624" t="s">
        <v>854</v>
      </c>
      <c r="C69" s="625"/>
      <c r="D69" s="628">
        <v>0</v>
      </c>
      <c r="E69" s="624" t="s">
        <v>854</v>
      </c>
      <c r="F69" s="625"/>
      <c r="G69" s="628">
        <v>140000</v>
      </c>
    </row>
    <row r="70" spans="1:7" ht="15" x14ac:dyDescent="0.2">
      <c r="A70" s="650"/>
      <c r="B70" s="624" t="s">
        <v>841</v>
      </c>
      <c r="C70" s="625"/>
      <c r="D70" s="628">
        <v>1661291</v>
      </c>
      <c r="E70" s="624" t="s">
        <v>841</v>
      </c>
      <c r="F70" s="625"/>
      <c r="G70" s="628">
        <v>1661291</v>
      </c>
    </row>
    <row r="71" spans="1:7" ht="45" x14ac:dyDescent="0.2">
      <c r="A71" s="652"/>
      <c r="B71" s="624" t="s">
        <v>855</v>
      </c>
      <c r="C71" s="625"/>
      <c r="D71" s="632">
        <v>0</v>
      </c>
      <c r="E71" s="624" t="s">
        <v>855</v>
      </c>
      <c r="F71" s="625"/>
      <c r="G71" s="632">
        <v>1683841</v>
      </c>
    </row>
    <row r="72" spans="1:7" ht="15" x14ac:dyDescent="0.2">
      <c r="A72" s="624"/>
      <c r="B72" s="624" t="s">
        <v>106</v>
      </c>
      <c r="C72" s="625"/>
      <c r="D72" s="626">
        <f>SUM(D61:D71)</f>
        <v>218132378</v>
      </c>
      <c r="E72" s="624" t="s">
        <v>106</v>
      </c>
      <c r="F72" s="625"/>
      <c r="G72" s="626">
        <f>SUM(G61:G71)</f>
        <v>333914244</v>
      </c>
    </row>
    <row r="73" spans="1:7" ht="15" x14ac:dyDescent="0.2">
      <c r="A73" s="624"/>
      <c r="B73" s="624"/>
      <c r="C73" s="625"/>
      <c r="D73" s="626"/>
      <c r="E73" s="624"/>
      <c r="F73" s="625"/>
      <c r="G73" s="626"/>
    </row>
    <row r="74" spans="1:7" ht="15" x14ac:dyDescent="0.2">
      <c r="A74" s="624"/>
      <c r="B74" s="624" t="s">
        <v>856</v>
      </c>
      <c r="C74" s="625"/>
      <c r="D74" s="626"/>
      <c r="E74" s="624" t="s">
        <v>856</v>
      </c>
      <c r="F74" s="625"/>
      <c r="G74" s="626"/>
    </row>
    <row r="75" spans="1:7" ht="45" x14ac:dyDescent="0.2">
      <c r="A75" s="629"/>
      <c r="B75" s="629" t="s">
        <v>1458</v>
      </c>
      <c r="C75" s="630"/>
      <c r="D75" s="633">
        <v>0</v>
      </c>
      <c r="E75" s="629" t="s">
        <v>857</v>
      </c>
      <c r="F75" s="630"/>
      <c r="G75" s="633">
        <v>0</v>
      </c>
    </row>
    <row r="76" spans="1:7" ht="15" x14ac:dyDescent="0.2">
      <c r="A76" s="624"/>
      <c r="B76" s="624"/>
      <c r="C76" s="625"/>
      <c r="D76" s="626"/>
      <c r="E76" s="624"/>
      <c r="F76" s="625"/>
      <c r="G76" s="626"/>
    </row>
    <row r="77" spans="1:7" ht="15" x14ac:dyDescent="0.2">
      <c r="A77" s="624"/>
      <c r="B77" s="624" t="s">
        <v>858</v>
      </c>
      <c r="C77" s="625"/>
      <c r="D77" s="626"/>
      <c r="E77" s="624" t="s">
        <v>858</v>
      </c>
      <c r="F77" s="625"/>
      <c r="G77" s="626"/>
    </row>
    <row r="78" spans="1:7" ht="15" x14ac:dyDescent="0.2">
      <c r="A78" s="624"/>
      <c r="B78" s="624"/>
      <c r="C78" s="625"/>
      <c r="D78" s="626"/>
      <c r="E78" s="626"/>
      <c r="F78" s="626"/>
    </row>
    <row r="79" spans="1:7" ht="15" x14ac:dyDescent="0.2">
      <c r="A79" s="624"/>
      <c r="B79" s="624"/>
      <c r="C79" s="625"/>
      <c r="D79" s="626"/>
      <c r="E79" s="626"/>
      <c r="F79" s="626"/>
    </row>
    <row r="80" spans="1:7" ht="15" x14ac:dyDescent="0.2">
      <c r="A80" s="624"/>
      <c r="B80" s="624"/>
      <c r="C80" s="625"/>
      <c r="D80" s="626"/>
      <c r="E80" s="626"/>
      <c r="F80" s="626"/>
    </row>
    <row r="81" spans="1:6" ht="15" x14ac:dyDescent="0.2">
      <c r="A81" s="624"/>
      <c r="B81" s="624"/>
      <c r="C81" s="625"/>
      <c r="D81" s="626"/>
      <c r="E81" s="626"/>
      <c r="F81" s="626"/>
    </row>
    <row r="82" spans="1:6" ht="15" x14ac:dyDescent="0.2">
      <c r="A82" s="624"/>
      <c r="B82" s="624"/>
      <c r="C82" s="625"/>
      <c r="D82" s="626"/>
      <c r="E82" s="626"/>
      <c r="F82" s="626"/>
    </row>
    <row r="83" spans="1:6" ht="15" x14ac:dyDescent="0.2">
      <c r="A83" s="624"/>
      <c r="B83" s="624"/>
      <c r="C83" s="625"/>
      <c r="D83" s="626"/>
      <c r="E83" s="626"/>
      <c r="F83" s="626"/>
    </row>
    <row r="84" spans="1:6" ht="15" x14ac:dyDescent="0.2">
      <c r="A84" s="624"/>
      <c r="B84" s="624"/>
      <c r="C84" s="625"/>
      <c r="D84" s="626"/>
      <c r="E84" s="626"/>
      <c r="F84" s="626"/>
    </row>
    <row r="85" spans="1:6" ht="15" x14ac:dyDescent="0.2">
      <c r="A85" s="624"/>
      <c r="B85" s="624"/>
      <c r="C85" s="625"/>
      <c r="D85" s="626"/>
      <c r="E85" s="626"/>
      <c r="F85" s="626"/>
    </row>
    <row r="86" spans="1:6" ht="15" x14ac:dyDescent="0.2">
      <c r="A86" s="624"/>
      <c r="B86" s="624"/>
      <c r="C86" s="625"/>
      <c r="D86" s="626"/>
      <c r="E86" s="626"/>
      <c r="F86" s="626"/>
    </row>
    <row r="87" spans="1:6" ht="15" x14ac:dyDescent="0.2">
      <c r="A87" s="624"/>
      <c r="B87" s="624"/>
      <c r="C87" s="625"/>
      <c r="D87" s="626"/>
      <c r="E87" s="626"/>
      <c r="F87" s="626"/>
    </row>
  </sheetData>
  <mergeCells count="2">
    <mergeCell ref="A49:A55"/>
    <mergeCell ref="B1:F1"/>
  </mergeCells>
  <printOptions horizontalCentered="1" verticalCentered="1"/>
  <pageMargins left="0.19685039370078741" right="0.19685039370078741" top="0" bottom="0" header="0.31496062992125984" footer="0.31496062992125984"/>
  <pageSetup paperSize="9" scale="65" orientation="portrait" r:id="rId1"/>
  <headerFooter>
    <oddHeader>&amp;CDunaharaszti Város Önkormányzat 2016. évi zárszámadás&amp;R&amp;A</oddHeader>
    <oddFooter xml:space="preserve">&amp;C&amp;P/&amp;N
</oddFooter>
  </headerFooter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view="pageBreakPreview" topLeftCell="A19" zoomScaleNormal="100" zoomScaleSheetLayoutView="100" workbookViewId="0">
      <selection activeCell="I28" sqref="I28"/>
    </sheetView>
  </sheetViews>
  <sheetFormatPr defaultRowHeight="12.75" x14ac:dyDescent="0.2"/>
  <cols>
    <col min="1" max="1" width="4.28515625" style="441" customWidth="1"/>
    <col min="2" max="3" width="9.140625" style="441"/>
    <col min="4" max="4" width="14.42578125" style="441" customWidth="1"/>
    <col min="5" max="7" width="13.140625" style="441" customWidth="1"/>
    <col min="8" max="8" width="17.5703125" style="441" customWidth="1"/>
    <col min="9" max="9" width="14.7109375" style="441" customWidth="1"/>
    <col min="10" max="10" width="12.5703125" style="441" customWidth="1"/>
    <col min="11" max="11" width="13.7109375" style="441" customWidth="1"/>
    <col min="12" max="12" width="13.140625" style="441" customWidth="1"/>
    <col min="13" max="16384" width="9.140625" style="441"/>
  </cols>
  <sheetData>
    <row r="1" spans="1:12" ht="32.25" customHeight="1" x14ac:dyDescent="0.2">
      <c r="A1" s="898" t="s">
        <v>1422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</row>
    <row r="2" spans="1:12" x14ac:dyDescent="0.2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1:12" x14ac:dyDescent="0.2">
      <c r="A3" s="535" t="s">
        <v>1421</v>
      </c>
      <c r="B3" s="535"/>
      <c r="C3" s="535"/>
      <c r="D3" s="535"/>
      <c r="E3" s="535"/>
      <c r="F3" s="442"/>
      <c r="G3" s="442"/>
      <c r="H3" s="503"/>
      <c r="I3" s="503"/>
      <c r="J3" s="503"/>
      <c r="K3" s="503"/>
      <c r="L3" s="534" t="s">
        <v>1420</v>
      </c>
    </row>
    <row r="4" spans="1:12" ht="70.5" customHeight="1" x14ac:dyDescent="0.2">
      <c r="A4" s="468" t="s">
        <v>641</v>
      </c>
      <c r="B4" s="905" t="s">
        <v>1407</v>
      </c>
      <c r="C4" s="905"/>
      <c r="D4" s="906"/>
      <c r="E4" s="465" t="s">
        <v>1406</v>
      </c>
      <c r="F4" s="465" t="s">
        <v>1405</v>
      </c>
      <c r="G4" s="465" t="s">
        <v>859</v>
      </c>
      <c r="H4" s="533" t="s">
        <v>1404</v>
      </c>
      <c r="I4" s="533" t="s">
        <v>1403</v>
      </c>
      <c r="J4" s="533" t="s">
        <v>859</v>
      </c>
      <c r="K4" s="464" t="s">
        <v>1402</v>
      </c>
      <c r="L4" s="463" t="s">
        <v>1401</v>
      </c>
    </row>
    <row r="5" spans="1:12" ht="15" customHeight="1" x14ac:dyDescent="0.2">
      <c r="A5" s="532" t="s">
        <v>3</v>
      </c>
      <c r="B5" s="902" t="s">
        <v>1419</v>
      </c>
      <c r="C5" s="903"/>
      <c r="D5" s="904"/>
      <c r="E5" s="529">
        <v>0</v>
      </c>
      <c r="F5" s="531">
        <f>E5</f>
        <v>0</v>
      </c>
      <c r="G5" s="530"/>
      <c r="H5" s="529">
        <v>0</v>
      </c>
      <c r="I5" s="528">
        <v>5000000</v>
      </c>
      <c r="J5" s="527">
        <v>5394582</v>
      </c>
      <c r="K5" s="526">
        <v>0</v>
      </c>
      <c r="L5" s="525">
        <v>0</v>
      </c>
    </row>
    <row r="6" spans="1:12" ht="15" customHeight="1" x14ac:dyDescent="0.2">
      <c r="A6" s="524" t="s">
        <v>4</v>
      </c>
      <c r="B6" s="899" t="s">
        <v>1418</v>
      </c>
      <c r="C6" s="900"/>
      <c r="D6" s="901"/>
      <c r="E6" s="523">
        <v>0</v>
      </c>
      <c r="F6" s="522">
        <f>E6</f>
        <v>0</v>
      </c>
      <c r="G6" s="521"/>
      <c r="H6" s="523">
        <v>0</v>
      </c>
      <c r="I6" s="522">
        <f>H6</f>
        <v>0</v>
      </c>
      <c r="J6" s="521"/>
      <c r="K6" s="520">
        <v>0</v>
      </c>
      <c r="L6" s="519">
        <v>0</v>
      </c>
    </row>
    <row r="7" spans="1:12" ht="15" customHeight="1" x14ac:dyDescent="0.2">
      <c r="A7" s="518" t="s">
        <v>5</v>
      </c>
      <c r="B7" s="911" t="s">
        <v>1417</v>
      </c>
      <c r="C7" s="912"/>
      <c r="D7" s="913"/>
      <c r="E7" s="517">
        <v>0</v>
      </c>
      <c r="F7" s="516">
        <f>E7</f>
        <v>0</v>
      </c>
      <c r="G7" s="515"/>
      <c r="H7" s="517">
        <v>0</v>
      </c>
      <c r="I7" s="516">
        <f>H7</f>
        <v>0</v>
      </c>
      <c r="J7" s="515"/>
      <c r="K7" s="514">
        <v>0</v>
      </c>
      <c r="L7" s="513">
        <v>0</v>
      </c>
    </row>
    <row r="8" spans="1:12" ht="15" customHeight="1" x14ac:dyDescent="0.2">
      <c r="A8" s="907" t="s">
        <v>1398</v>
      </c>
      <c r="B8" s="908"/>
      <c r="C8" s="908"/>
      <c r="D8" s="909"/>
      <c r="E8" s="512">
        <f>SUM(E5:E7)</f>
        <v>0</v>
      </c>
      <c r="F8" s="512">
        <f>SUM(F5:F7)</f>
        <v>0</v>
      </c>
      <c r="G8" s="512"/>
      <c r="H8" s="511">
        <f>SUM(H5:H7)</f>
        <v>0</v>
      </c>
      <c r="I8" s="511">
        <f>SUM(I5:I7)</f>
        <v>5000000</v>
      </c>
      <c r="J8" s="511">
        <f>SUM(J5:J7)</f>
        <v>5394582</v>
      </c>
      <c r="K8" s="510">
        <f>SUM(K5:K7)</f>
        <v>0</v>
      </c>
      <c r="L8" s="509">
        <f>SUM(L5:L7)</f>
        <v>0</v>
      </c>
    </row>
    <row r="9" spans="1:12" x14ac:dyDescent="0.2">
      <c r="A9" s="508"/>
      <c r="B9" s="508"/>
      <c r="C9" s="508"/>
      <c r="D9" s="507"/>
      <c r="E9" s="506"/>
      <c r="F9" s="506"/>
      <c r="G9" s="506"/>
      <c r="H9" s="469"/>
      <c r="I9" s="469"/>
      <c r="J9" s="469"/>
      <c r="K9" s="469"/>
      <c r="L9" s="443"/>
    </row>
    <row r="10" spans="1:12" x14ac:dyDescent="0.2">
      <c r="A10" s="442" t="s">
        <v>1416</v>
      </c>
      <c r="B10" s="505"/>
      <c r="C10" s="505"/>
      <c r="D10" s="505"/>
      <c r="E10" s="505"/>
      <c r="F10" s="442"/>
      <c r="G10" s="442"/>
      <c r="H10" s="469"/>
      <c r="I10" s="469"/>
      <c r="J10" s="469"/>
      <c r="K10" s="469"/>
      <c r="L10" s="443"/>
    </row>
    <row r="11" spans="1:12" x14ac:dyDescent="0.2">
      <c r="A11" s="470"/>
      <c r="B11" s="470"/>
      <c r="C11" s="470"/>
      <c r="D11" s="470"/>
      <c r="E11" s="470"/>
      <c r="F11" s="470"/>
      <c r="G11" s="470"/>
      <c r="H11" s="469"/>
      <c r="I11" s="469"/>
      <c r="J11" s="469"/>
      <c r="K11" s="469"/>
      <c r="L11" s="443"/>
    </row>
    <row r="12" spans="1:12" x14ac:dyDescent="0.2">
      <c r="A12" s="504" t="s">
        <v>1415</v>
      </c>
      <c r="B12" s="504"/>
      <c r="C12" s="504"/>
      <c r="D12" s="504"/>
      <c r="E12" s="504"/>
      <c r="F12" s="442"/>
      <c r="G12" s="442"/>
      <c r="H12" s="503"/>
      <c r="I12" s="503"/>
      <c r="J12" s="503"/>
      <c r="K12" s="503"/>
      <c r="L12" s="443"/>
    </row>
    <row r="13" spans="1:12" ht="69.75" customHeight="1" x14ac:dyDescent="0.2">
      <c r="A13" s="502" t="s">
        <v>641</v>
      </c>
      <c r="B13" s="910" t="s">
        <v>1407</v>
      </c>
      <c r="C13" s="910"/>
      <c r="D13" s="910"/>
      <c r="E13" s="501" t="s">
        <v>1406</v>
      </c>
      <c r="F13" s="501" t="s">
        <v>1405</v>
      </c>
      <c r="G13" s="501" t="s">
        <v>859</v>
      </c>
      <c r="H13" s="501" t="s">
        <v>1404</v>
      </c>
      <c r="I13" s="501" t="s">
        <v>1403</v>
      </c>
      <c r="J13" s="501" t="s">
        <v>859</v>
      </c>
      <c r="K13" s="500" t="s">
        <v>1402</v>
      </c>
      <c r="L13" s="463" t="s">
        <v>1401</v>
      </c>
    </row>
    <row r="14" spans="1:12" x14ac:dyDescent="0.2">
      <c r="A14" s="914" t="s">
        <v>1414</v>
      </c>
      <c r="B14" s="914"/>
      <c r="C14" s="914"/>
      <c r="D14" s="914"/>
      <c r="E14" s="499"/>
      <c r="F14" s="499"/>
      <c r="G14" s="499"/>
      <c r="H14" s="498"/>
      <c r="I14" s="498"/>
      <c r="J14" s="498"/>
      <c r="K14" s="498"/>
      <c r="L14" s="463"/>
    </row>
    <row r="15" spans="1:12" ht="15.75" customHeight="1" x14ac:dyDescent="0.2">
      <c r="A15" s="497" t="s">
        <v>3</v>
      </c>
      <c r="B15" s="915" t="s">
        <v>838</v>
      </c>
      <c r="C15" s="916"/>
      <c r="D15" s="917"/>
      <c r="E15" s="496">
        <v>0</v>
      </c>
      <c r="F15" s="495">
        <f t="shared" ref="F15:F21" si="0">E15</f>
        <v>0</v>
      </c>
      <c r="G15" s="494"/>
      <c r="H15" s="493">
        <v>5021117</v>
      </c>
      <c r="I15" s="492">
        <f t="shared" ref="I15:I21" si="1">H15</f>
        <v>5021117</v>
      </c>
      <c r="J15" s="491">
        <v>13418273</v>
      </c>
      <c r="K15" s="490">
        <v>0</v>
      </c>
      <c r="L15" s="490">
        <v>0</v>
      </c>
    </row>
    <row r="16" spans="1:12" ht="15.75" customHeight="1" x14ac:dyDescent="0.2">
      <c r="A16" s="489" t="s">
        <v>4</v>
      </c>
      <c r="B16" s="889" t="s">
        <v>1413</v>
      </c>
      <c r="C16" s="890"/>
      <c r="D16" s="891"/>
      <c r="E16" s="488">
        <v>0</v>
      </c>
      <c r="F16" s="487">
        <f t="shared" si="0"/>
        <v>0</v>
      </c>
      <c r="G16" s="486"/>
      <c r="H16" s="485">
        <v>56548200</v>
      </c>
      <c r="I16" s="484">
        <f t="shared" si="1"/>
        <v>56548200</v>
      </c>
      <c r="J16" s="483">
        <v>65265974</v>
      </c>
      <c r="K16" s="482">
        <v>0</v>
      </c>
      <c r="L16" s="482">
        <v>0</v>
      </c>
    </row>
    <row r="17" spans="1:12" ht="15.75" customHeight="1" x14ac:dyDescent="0.2">
      <c r="A17" s="489" t="s">
        <v>5</v>
      </c>
      <c r="B17" s="889" t="s">
        <v>1412</v>
      </c>
      <c r="C17" s="890"/>
      <c r="D17" s="891"/>
      <c r="E17" s="488">
        <v>0</v>
      </c>
      <c r="F17" s="487">
        <f t="shared" si="0"/>
        <v>0</v>
      </c>
      <c r="G17" s="486"/>
      <c r="H17" s="485">
        <v>4965217</v>
      </c>
      <c r="I17" s="484">
        <f t="shared" si="1"/>
        <v>4965217</v>
      </c>
      <c r="J17" s="483">
        <v>4878366</v>
      </c>
      <c r="K17" s="482">
        <v>0</v>
      </c>
      <c r="L17" s="482">
        <v>0</v>
      </c>
    </row>
    <row r="18" spans="1:12" ht="15.75" customHeight="1" x14ac:dyDescent="0.2">
      <c r="A18" s="489" t="s">
        <v>6</v>
      </c>
      <c r="B18" s="889" t="s">
        <v>844</v>
      </c>
      <c r="C18" s="890"/>
      <c r="D18" s="891"/>
      <c r="E18" s="488">
        <v>0</v>
      </c>
      <c r="F18" s="487">
        <f t="shared" si="0"/>
        <v>0</v>
      </c>
      <c r="G18" s="486"/>
      <c r="H18" s="485">
        <v>3826400</v>
      </c>
      <c r="I18" s="484">
        <f t="shared" si="1"/>
        <v>3826400</v>
      </c>
      <c r="J18" s="483">
        <v>59200</v>
      </c>
      <c r="K18" s="482">
        <v>0</v>
      </c>
      <c r="L18" s="482">
        <v>0</v>
      </c>
    </row>
    <row r="19" spans="1:12" ht="15.75" customHeight="1" x14ac:dyDescent="0.2">
      <c r="A19" s="489" t="s">
        <v>7</v>
      </c>
      <c r="B19" s="889" t="s">
        <v>1411</v>
      </c>
      <c r="C19" s="890"/>
      <c r="D19" s="891"/>
      <c r="E19" s="488">
        <v>0</v>
      </c>
      <c r="F19" s="487">
        <f t="shared" si="0"/>
        <v>0</v>
      </c>
      <c r="G19" s="486"/>
      <c r="H19" s="485">
        <v>954280</v>
      </c>
      <c r="I19" s="484">
        <f t="shared" si="1"/>
        <v>954280</v>
      </c>
      <c r="J19" s="483">
        <v>96130</v>
      </c>
      <c r="K19" s="482">
        <v>0</v>
      </c>
      <c r="L19" s="482">
        <v>0</v>
      </c>
    </row>
    <row r="20" spans="1:12" ht="15.75" customHeight="1" x14ac:dyDescent="0.2">
      <c r="A20" s="489" t="s">
        <v>8</v>
      </c>
      <c r="B20" s="889" t="s">
        <v>1410</v>
      </c>
      <c r="C20" s="890"/>
      <c r="D20" s="891"/>
      <c r="E20" s="488">
        <v>0</v>
      </c>
      <c r="F20" s="487">
        <f t="shared" si="0"/>
        <v>0</v>
      </c>
      <c r="G20" s="486"/>
      <c r="H20" s="485">
        <v>1000000</v>
      </c>
      <c r="I20" s="484">
        <f t="shared" si="1"/>
        <v>1000000</v>
      </c>
      <c r="J20" s="483">
        <v>4894082</v>
      </c>
      <c r="K20" s="482">
        <v>0</v>
      </c>
      <c r="L20" s="482">
        <v>0</v>
      </c>
    </row>
    <row r="21" spans="1:12" ht="15.75" customHeight="1" x14ac:dyDescent="0.2">
      <c r="A21" s="481" t="s">
        <v>9</v>
      </c>
      <c r="B21" s="895" t="s">
        <v>1409</v>
      </c>
      <c r="C21" s="896"/>
      <c r="D21" s="897"/>
      <c r="E21" s="480">
        <v>0</v>
      </c>
      <c r="F21" s="479">
        <f t="shared" si="0"/>
        <v>0</v>
      </c>
      <c r="G21" s="478"/>
      <c r="H21" s="477">
        <v>400000</v>
      </c>
      <c r="I21" s="476">
        <f t="shared" si="1"/>
        <v>400000</v>
      </c>
      <c r="J21" s="475">
        <v>499400</v>
      </c>
      <c r="K21" s="474">
        <v>0</v>
      </c>
      <c r="L21" s="474">
        <v>0</v>
      </c>
    </row>
    <row r="22" spans="1:12" ht="15.75" customHeight="1" x14ac:dyDescent="0.2">
      <c r="A22" s="892" t="s">
        <v>1398</v>
      </c>
      <c r="B22" s="893"/>
      <c r="C22" s="893"/>
      <c r="D22" s="894"/>
      <c r="E22" s="473">
        <f>SUM(E15:E21)</f>
        <v>0</v>
      </c>
      <c r="F22" s="472">
        <f>SUM(F15:F21)</f>
        <v>0</v>
      </c>
      <c r="G22" s="472"/>
      <c r="H22" s="471">
        <f>SUM(H15:H21)</f>
        <v>72715214</v>
      </c>
      <c r="I22" s="471">
        <f>SUM(I15:I21)</f>
        <v>72715214</v>
      </c>
      <c r="J22" s="471">
        <f>SUM(J15:J21)</f>
        <v>89111425</v>
      </c>
      <c r="K22" s="471">
        <f>SUM(K15:K21)</f>
        <v>0</v>
      </c>
      <c r="L22" s="471">
        <f>SUM(L15:L21)</f>
        <v>0</v>
      </c>
    </row>
    <row r="23" spans="1:12" x14ac:dyDescent="0.2">
      <c r="A23" s="470"/>
      <c r="B23" s="470"/>
      <c r="C23" s="470"/>
      <c r="D23" s="470"/>
      <c r="E23" s="470"/>
      <c r="F23" s="470"/>
      <c r="G23" s="470"/>
      <c r="H23" s="469"/>
      <c r="I23" s="469"/>
      <c r="J23" s="469"/>
      <c r="K23" s="469"/>
      <c r="L23" s="443"/>
    </row>
    <row r="24" spans="1:12" x14ac:dyDescent="0.2">
      <c r="A24" s="921" t="s">
        <v>1408</v>
      </c>
      <c r="B24" s="921"/>
      <c r="C24" s="921"/>
      <c r="D24" s="921"/>
      <c r="E24" s="921"/>
      <c r="F24" s="921"/>
      <c r="G24" s="921"/>
      <c r="H24" s="921"/>
      <c r="I24" s="921"/>
      <c r="J24" s="921"/>
      <c r="K24" s="921"/>
      <c r="L24" s="921"/>
    </row>
    <row r="25" spans="1:12" ht="70.5" customHeight="1" x14ac:dyDescent="0.2">
      <c r="A25" s="468" t="s">
        <v>641</v>
      </c>
      <c r="B25" s="905" t="s">
        <v>1407</v>
      </c>
      <c r="C25" s="905"/>
      <c r="D25" s="906"/>
      <c r="E25" s="467" t="s">
        <v>1406</v>
      </c>
      <c r="F25" s="467" t="s">
        <v>1405</v>
      </c>
      <c r="G25" s="465" t="s">
        <v>859</v>
      </c>
      <c r="H25" s="466" t="s">
        <v>1404</v>
      </c>
      <c r="I25" s="466" t="s">
        <v>1403</v>
      </c>
      <c r="J25" s="465" t="s">
        <v>859</v>
      </c>
      <c r="K25" s="464" t="s">
        <v>1402</v>
      </c>
      <c r="L25" s="463" t="s">
        <v>1401</v>
      </c>
    </row>
    <row r="26" spans="1:12" s="457" customFormat="1" ht="20.25" customHeight="1" x14ac:dyDescent="0.2">
      <c r="A26" s="462" t="s">
        <v>3</v>
      </c>
      <c r="B26" s="920" t="s">
        <v>1400</v>
      </c>
      <c r="C26" s="920"/>
      <c r="D26" s="920"/>
      <c r="E26" s="461">
        <v>0</v>
      </c>
      <c r="F26" s="460">
        <f>E26</f>
        <v>0</v>
      </c>
      <c r="G26" s="459">
        <f>1500000/6*9</f>
        <v>2250000</v>
      </c>
      <c r="H26" s="461">
        <v>0</v>
      </c>
      <c r="I26" s="460">
        <f>H26</f>
        <v>0</v>
      </c>
      <c r="J26" s="459"/>
      <c r="K26" s="458">
        <v>0</v>
      </c>
      <c r="L26" s="458">
        <v>0</v>
      </c>
    </row>
    <row r="27" spans="1:12" ht="25.5" customHeight="1" x14ac:dyDescent="0.2">
      <c r="A27" s="456" t="s">
        <v>4</v>
      </c>
      <c r="B27" s="919" t="s">
        <v>1399</v>
      </c>
      <c r="C27" s="919"/>
      <c r="D27" s="919"/>
      <c r="E27" s="453"/>
      <c r="F27" s="455"/>
      <c r="G27" s="454"/>
      <c r="H27" s="453"/>
      <c r="I27" s="452">
        <v>4000000</v>
      </c>
      <c r="J27" s="451">
        <v>5574500</v>
      </c>
      <c r="K27" s="450"/>
      <c r="L27" s="450"/>
    </row>
    <row r="28" spans="1:12" ht="25.5" customHeight="1" x14ac:dyDescent="0.2">
      <c r="A28" s="918" t="s">
        <v>1398</v>
      </c>
      <c r="B28" s="918"/>
      <c r="C28" s="918"/>
      <c r="D28" s="918"/>
      <c r="E28" s="448">
        <f>SUM(E26:E27)</f>
        <v>0</v>
      </c>
      <c r="F28" s="449">
        <f>SUM(F26:F27)</f>
        <v>0</v>
      </c>
      <c r="G28" s="449"/>
      <c r="H28" s="448">
        <f>SUM(H26:H27)</f>
        <v>0</v>
      </c>
      <c r="I28" s="448">
        <f>SUM(I26:I27)</f>
        <v>4000000</v>
      </c>
      <c r="J28" s="448">
        <f>SUM(J26:J27)</f>
        <v>5574500</v>
      </c>
      <c r="K28" s="448">
        <f>SUM(K26:K27)</f>
        <v>0</v>
      </c>
      <c r="L28" s="448">
        <f>SUM(L26:L27)</f>
        <v>0</v>
      </c>
    </row>
    <row r="29" spans="1:12" x14ac:dyDescent="0.2">
      <c r="A29" s="447"/>
      <c r="B29" s="447"/>
      <c r="C29" s="446"/>
      <c r="D29" s="445"/>
      <c r="E29" s="442"/>
      <c r="F29" s="442"/>
      <c r="G29" s="442"/>
      <c r="H29" s="444"/>
      <c r="I29" s="444"/>
      <c r="J29" s="444"/>
      <c r="K29" s="444"/>
      <c r="L29" s="443"/>
    </row>
    <row r="30" spans="1:12" x14ac:dyDescent="0.2">
      <c r="A30" s="442" t="s">
        <v>1397</v>
      </c>
      <c r="B30" s="442"/>
      <c r="C30" s="442"/>
      <c r="D30" s="442"/>
    </row>
  </sheetData>
  <mergeCells count="21">
    <mergeCell ref="A28:D28"/>
    <mergeCell ref="B20:D20"/>
    <mergeCell ref="B27:D27"/>
    <mergeCell ref="B26:D26"/>
    <mergeCell ref="A24:L24"/>
    <mergeCell ref="B25:D25"/>
    <mergeCell ref="B18:D18"/>
    <mergeCell ref="A22:D22"/>
    <mergeCell ref="B21:D21"/>
    <mergeCell ref="A1:L1"/>
    <mergeCell ref="B6:D6"/>
    <mergeCell ref="B5:D5"/>
    <mergeCell ref="B4:D4"/>
    <mergeCell ref="B16:D16"/>
    <mergeCell ref="B19:D19"/>
    <mergeCell ref="B17:D17"/>
    <mergeCell ref="A8:D8"/>
    <mergeCell ref="B13:D13"/>
    <mergeCell ref="B7:D7"/>
    <mergeCell ref="A14:D14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&amp;CDunaharaszti Város Önkormányzat 2016.évi zárszámadás&amp;R&amp;A</oddHeader>
    <oddFooter xml:space="preserve">&amp;C&amp;P/&amp;N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topLeftCell="A10" zoomScale="87" zoomScaleNormal="100" zoomScaleSheetLayoutView="87" workbookViewId="0">
      <selection sqref="A1:G1"/>
    </sheetView>
  </sheetViews>
  <sheetFormatPr defaultRowHeight="15" x14ac:dyDescent="0.25"/>
  <cols>
    <col min="1" max="1" width="67.7109375" bestFit="1" customWidth="1"/>
    <col min="2" max="6" width="12" bestFit="1" customWidth="1"/>
  </cols>
  <sheetData>
    <row r="1" spans="1:17" ht="17.25" x14ac:dyDescent="0.3">
      <c r="A1" s="922" t="s">
        <v>616</v>
      </c>
      <c r="B1" s="922"/>
      <c r="C1" s="922"/>
      <c r="D1" s="922"/>
      <c r="E1" s="922"/>
      <c r="F1" s="922"/>
      <c r="G1" s="922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.75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7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L3" s="194"/>
      <c r="M3" s="194"/>
      <c r="N3" s="194"/>
      <c r="O3" s="194"/>
      <c r="P3" s="194"/>
      <c r="Q3" s="194"/>
    </row>
    <row r="4" spans="1:17" ht="15.75" x14ac:dyDescent="0.25">
      <c r="A4" s="923" t="s">
        <v>627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194"/>
      <c r="N4" s="194"/>
      <c r="O4" s="194"/>
      <c r="P4" s="194"/>
      <c r="Q4" s="194"/>
    </row>
    <row r="5" spans="1:17" ht="15.75" x14ac:dyDescent="0.25">
      <c r="A5" s="195" t="s">
        <v>628</v>
      </c>
      <c r="B5" s="195"/>
      <c r="C5" s="188"/>
      <c r="D5" s="188"/>
      <c r="E5" s="188"/>
      <c r="F5" s="188"/>
      <c r="G5" s="188"/>
      <c r="H5" s="188"/>
      <c r="I5" s="188"/>
      <c r="J5" s="188"/>
      <c r="L5" s="194"/>
      <c r="M5" s="194"/>
      <c r="N5" s="194"/>
      <c r="O5" s="194"/>
      <c r="P5" s="194"/>
      <c r="Q5" s="194"/>
    </row>
    <row r="6" spans="1:17" ht="15.75" x14ac:dyDescent="0.25">
      <c r="A6" s="196" t="s">
        <v>629</v>
      </c>
      <c r="B6" s="197"/>
      <c r="C6" s="188"/>
      <c r="D6" s="188"/>
      <c r="E6" s="188"/>
      <c r="F6" s="188"/>
      <c r="G6" s="188"/>
      <c r="H6" s="188"/>
      <c r="I6" s="188"/>
      <c r="J6" s="188"/>
      <c r="L6" s="194"/>
      <c r="M6" s="194"/>
      <c r="N6" s="194"/>
      <c r="O6" s="194"/>
      <c r="P6" s="194"/>
      <c r="Q6" s="194"/>
    </row>
    <row r="7" spans="1:17" ht="15.75" x14ac:dyDescent="0.25">
      <c r="A7" s="187" t="s">
        <v>619</v>
      </c>
      <c r="B7" s="187"/>
      <c r="C7" s="188"/>
      <c r="D7" s="188"/>
      <c r="E7" s="188"/>
      <c r="F7" s="188"/>
      <c r="G7" s="188"/>
      <c r="H7" s="188"/>
      <c r="I7" s="188"/>
      <c r="J7" s="188"/>
      <c r="L7" s="194"/>
      <c r="M7" s="194"/>
      <c r="N7" s="194"/>
      <c r="O7" s="194"/>
      <c r="P7" s="194"/>
      <c r="Q7" s="194"/>
    </row>
    <row r="10" spans="1:17" x14ac:dyDescent="0.25">
      <c r="A10" s="189"/>
      <c r="B10" s="198">
        <v>41887</v>
      </c>
      <c r="C10" s="198">
        <f>B10+365</f>
        <v>42252</v>
      </c>
      <c r="D10" s="198">
        <f>C10+365</f>
        <v>42617</v>
      </c>
      <c r="E10" s="198">
        <f>D10+365</f>
        <v>42982</v>
      </c>
      <c r="F10" s="198">
        <f>E10+365</f>
        <v>43347</v>
      </c>
    </row>
    <row r="11" spans="1:17" x14ac:dyDescent="0.25">
      <c r="A11" s="190" t="s">
        <v>620</v>
      </c>
      <c r="B11" s="189">
        <v>65</v>
      </c>
      <c r="C11" s="189">
        <v>65</v>
      </c>
      <c r="D11" s="189">
        <v>65</v>
      </c>
      <c r="E11" s="189">
        <v>65</v>
      </c>
      <c r="F11" s="189">
        <v>65</v>
      </c>
    </row>
    <row r="12" spans="1:17" ht="30" x14ac:dyDescent="0.25">
      <c r="A12" s="190" t="s">
        <v>630</v>
      </c>
      <c r="B12" s="189">
        <v>242</v>
      </c>
      <c r="C12" s="189">
        <v>242</v>
      </c>
      <c r="D12" s="189">
        <v>242</v>
      </c>
      <c r="E12" s="189">
        <v>242</v>
      </c>
      <c r="F12" s="189">
        <v>242</v>
      </c>
    </row>
    <row r="13" spans="1:17" x14ac:dyDescent="0.25">
      <c r="A13" s="190" t="s">
        <v>621</v>
      </c>
      <c r="B13" s="189">
        <v>19</v>
      </c>
      <c r="C13" s="189">
        <v>19</v>
      </c>
      <c r="D13" s="189">
        <v>19</v>
      </c>
      <c r="E13" s="189">
        <v>19</v>
      </c>
      <c r="F13" s="189">
        <v>19</v>
      </c>
    </row>
    <row r="15" spans="1:17" ht="15.75" x14ac:dyDescent="0.25">
      <c r="A15" s="187" t="s">
        <v>622</v>
      </c>
    </row>
    <row r="16" spans="1:17" x14ac:dyDescent="0.25">
      <c r="A16" s="191" t="s">
        <v>631</v>
      </c>
      <c r="B16" s="189">
        <v>86</v>
      </c>
      <c r="C16" s="189">
        <v>86</v>
      </c>
      <c r="D16" s="189">
        <v>86</v>
      </c>
      <c r="E16" s="189">
        <v>86</v>
      </c>
      <c r="F16" s="189">
        <v>86</v>
      </c>
    </row>
    <row r="17" spans="1:6" x14ac:dyDescent="0.25">
      <c r="A17" s="191" t="s">
        <v>632</v>
      </c>
      <c r="B17" s="189">
        <v>57</v>
      </c>
      <c r="C17" s="189">
        <v>57</v>
      </c>
      <c r="D17" s="189">
        <v>57</v>
      </c>
      <c r="E17" s="189">
        <v>57</v>
      </c>
      <c r="F17" s="189">
        <v>57</v>
      </c>
    </row>
    <row r="18" spans="1:6" x14ac:dyDescent="0.25">
      <c r="A18" s="191" t="s">
        <v>633</v>
      </c>
      <c r="B18" s="189">
        <v>16350</v>
      </c>
      <c r="C18" s="189">
        <v>16350</v>
      </c>
      <c r="D18" s="189">
        <v>16350</v>
      </c>
      <c r="E18" s="189">
        <v>16350</v>
      </c>
      <c r="F18" s="189">
        <v>16350</v>
      </c>
    </row>
    <row r="19" spans="1:6" x14ac:dyDescent="0.25">
      <c r="A19" s="191" t="s">
        <v>634</v>
      </c>
      <c r="B19" s="189">
        <v>8530</v>
      </c>
      <c r="C19" s="189">
        <v>8530</v>
      </c>
      <c r="D19" s="189">
        <v>8530</v>
      </c>
      <c r="E19" s="189">
        <v>8530</v>
      </c>
      <c r="F19" s="189">
        <v>8530</v>
      </c>
    </row>
    <row r="20" spans="1:6" x14ac:dyDescent="0.25">
      <c r="A20" s="191" t="s">
        <v>635</v>
      </c>
      <c r="B20" s="189">
        <v>350</v>
      </c>
      <c r="C20" s="189">
        <v>350</v>
      </c>
      <c r="D20" s="189">
        <v>350</v>
      </c>
      <c r="E20" s="189">
        <v>350</v>
      </c>
      <c r="F20" s="189">
        <v>350</v>
      </c>
    </row>
    <row r="21" spans="1:6" x14ac:dyDescent="0.25">
      <c r="A21" s="191" t="s">
        <v>636</v>
      </c>
      <c r="B21" s="189">
        <v>350</v>
      </c>
      <c r="C21" s="189">
        <v>350</v>
      </c>
      <c r="D21" s="189">
        <v>350</v>
      </c>
      <c r="E21" s="189">
        <v>350</v>
      </c>
      <c r="F21" s="189">
        <v>350</v>
      </c>
    </row>
    <row r="22" spans="1:6" ht="30" x14ac:dyDescent="0.25">
      <c r="A22" s="191" t="s">
        <v>623</v>
      </c>
      <c r="B22" s="192" t="s">
        <v>624</v>
      </c>
      <c r="C22" s="192" t="s">
        <v>624</v>
      </c>
      <c r="D22" s="192" t="s">
        <v>624</v>
      </c>
      <c r="E22" s="192" t="s">
        <v>624</v>
      </c>
      <c r="F22" s="192" t="s">
        <v>624</v>
      </c>
    </row>
    <row r="23" spans="1:6" x14ac:dyDescent="0.25">
      <c r="A23" s="191" t="s">
        <v>637</v>
      </c>
      <c r="B23" s="189">
        <v>24</v>
      </c>
      <c r="C23" s="189">
        <v>24</v>
      </c>
      <c r="D23" s="189">
        <v>24</v>
      </c>
      <c r="E23" s="189">
        <v>24</v>
      </c>
      <c r="F23" s="189">
        <v>24</v>
      </c>
    </row>
    <row r="24" spans="1:6" x14ac:dyDescent="0.25">
      <c r="A24" s="191" t="s">
        <v>638</v>
      </c>
      <c r="B24" s="189">
        <v>1</v>
      </c>
      <c r="C24" s="189">
        <v>1</v>
      </c>
      <c r="D24" s="189">
        <v>1</v>
      </c>
      <c r="E24" s="189">
        <v>1</v>
      </c>
      <c r="F24" s="189">
        <v>1</v>
      </c>
    </row>
    <row r="25" spans="1:6" x14ac:dyDescent="0.25">
      <c r="A25" s="189"/>
      <c r="B25" s="189"/>
      <c r="C25" s="189"/>
      <c r="D25" s="189"/>
      <c r="E25" s="189"/>
      <c r="F25" s="189"/>
    </row>
    <row r="26" spans="1:6" x14ac:dyDescent="0.25">
      <c r="A26" s="189"/>
      <c r="B26" s="189"/>
      <c r="C26" s="189"/>
      <c r="D26" s="189"/>
      <c r="E26" s="189"/>
      <c r="F26" s="189"/>
    </row>
    <row r="27" spans="1:6" ht="30" x14ac:dyDescent="0.25">
      <c r="A27" s="191" t="s">
        <v>639</v>
      </c>
      <c r="B27" s="189">
        <v>20</v>
      </c>
      <c r="C27" s="189">
        <v>20</v>
      </c>
      <c r="D27" s="189">
        <v>20</v>
      </c>
      <c r="E27" s="189">
        <v>20</v>
      </c>
      <c r="F27" s="189">
        <v>20</v>
      </c>
    </row>
    <row r="28" spans="1:6" ht="30" x14ac:dyDescent="0.25">
      <c r="A28" s="191" t="s">
        <v>640</v>
      </c>
      <c r="B28" s="189">
        <v>86</v>
      </c>
      <c r="C28" s="189">
        <v>86</v>
      </c>
      <c r="D28" s="189">
        <v>86</v>
      </c>
      <c r="E28" s="189">
        <v>86</v>
      </c>
      <c r="F28" s="189">
        <v>86</v>
      </c>
    </row>
    <row r="29" spans="1:6" ht="30" x14ac:dyDescent="0.25">
      <c r="A29" s="191" t="s">
        <v>625</v>
      </c>
      <c r="B29" s="192" t="s">
        <v>624</v>
      </c>
      <c r="C29" s="192" t="s">
        <v>624</v>
      </c>
      <c r="D29" s="192" t="s">
        <v>624</v>
      </c>
      <c r="E29" s="192" t="s">
        <v>624</v>
      </c>
      <c r="F29" s="192" t="s">
        <v>624</v>
      </c>
    </row>
    <row r="30" spans="1:6" ht="30" x14ac:dyDescent="0.25">
      <c r="A30" s="191" t="s">
        <v>626</v>
      </c>
      <c r="B30" s="192" t="s">
        <v>624</v>
      </c>
      <c r="C30" s="192" t="s">
        <v>624</v>
      </c>
      <c r="D30" s="192" t="s">
        <v>624</v>
      </c>
      <c r="E30" s="192" t="s">
        <v>624</v>
      </c>
      <c r="F30" s="192" t="s">
        <v>624</v>
      </c>
    </row>
  </sheetData>
  <mergeCells count="2">
    <mergeCell ref="A1:G1"/>
    <mergeCell ref="A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&amp;CDunaharaszti Város Önkormányzat 2016. évi zárszámadás&amp;R&amp;A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="110" zoomScaleNormal="100" zoomScaleSheetLayoutView="110" workbookViewId="0">
      <selection activeCell="H5" sqref="H5"/>
    </sheetView>
  </sheetViews>
  <sheetFormatPr defaultRowHeight="15" x14ac:dyDescent="0.25"/>
  <cols>
    <col min="1" max="1" width="33.42578125" customWidth="1"/>
    <col min="2" max="2" width="11.140625" customWidth="1"/>
    <col min="8" max="8" width="13.7109375" customWidth="1"/>
  </cols>
  <sheetData>
    <row r="1" spans="1:10" ht="17.25" x14ac:dyDescent="0.3">
      <c r="A1" s="922" t="s">
        <v>616</v>
      </c>
      <c r="B1" s="922"/>
      <c r="C1" s="922"/>
      <c r="D1" s="922"/>
      <c r="E1" s="922"/>
      <c r="F1" s="922"/>
      <c r="G1" s="922"/>
      <c r="H1" s="922"/>
      <c r="I1" s="181"/>
      <c r="J1" s="343"/>
    </row>
    <row r="2" spans="1:10" x14ac:dyDescent="0.25">
      <c r="A2" s="200"/>
      <c r="B2" s="200"/>
      <c r="C2" s="200"/>
      <c r="D2" s="200"/>
      <c r="E2" s="200"/>
      <c r="F2" s="343"/>
      <c r="G2" s="343"/>
      <c r="H2" s="343"/>
      <c r="I2" s="343"/>
      <c r="J2" s="343"/>
    </row>
    <row r="3" spans="1:10" ht="18.75" x14ac:dyDescent="0.25">
      <c r="A3" s="924"/>
      <c r="B3" s="924"/>
      <c r="C3" s="924"/>
      <c r="D3" s="924"/>
      <c r="E3" s="924"/>
      <c r="F3" s="924"/>
      <c r="G3" s="924"/>
      <c r="H3" s="343"/>
      <c r="I3" s="343"/>
      <c r="J3" s="343"/>
    </row>
    <row r="4" spans="1:10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</row>
    <row r="5" spans="1:10" ht="15.75" x14ac:dyDescent="0.25">
      <c r="A5" s="344" t="s">
        <v>1021</v>
      </c>
      <c r="B5" s="345"/>
      <c r="C5" s="345"/>
      <c r="D5" s="345"/>
      <c r="E5" s="345"/>
      <c r="F5" s="343"/>
      <c r="G5" s="343"/>
      <c r="H5" s="343"/>
      <c r="I5" s="343"/>
      <c r="J5" s="343"/>
    </row>
    <row r="6" spans="1:10" ht="15.75" x14ac:dyDescent="0.25">
      <c r="A6" s="346" t="s">
        <v>1022</v>
      </c>
      <c r="B6" s="346"/>
      <c r="C6" s="346"/>
      <c r="D6" s="346"/>
      <c r="E6" s="346"/>
      <c r="F6" s="343"/>
      <c r="G6" s="343"/>
      <c r="H6" s="343"/>
      <c r="I6" s="343"/>
      <c r="J6" s="343"/>
    </row>
    <row r="7" spans="1:10" ht="15.75" x14ac:dyDescent="0.25">
      <c r="A7" s="346" t="s">
        <v>1023</v>
      </c>
      <c r="B7" s="346"/>
      <c r="C7" s="346"/>
      <c r="D7" s="346"/>
      <c r="E7" s="346"/>
      <c r="F7" s="343"/>
      <c r="G7" s="343"/>
      <c r="H7" s="343"/>
      <c r="I7" s="343"/>
      <c r="J7" s="343"/>
    </row>
    <row r="8" spans="1:10" ht="15.75" x14ac:dyDescent="0.25">
      <c r="A8" s="347" t="s">
        <v>619</v>
      </c>
      <c r="B8" s="347"/>
      <c r="C8" s="347"/>
      <c r="D8" s="347"/>
      <c r="E8" s="347"/>
      <c r="F8" s="343"/>
      <c r="G8" s="343"/>
      <c r="H8" s="343"/>
      <c r="I8" s="343"/>
      <c r="J8" s="343"/>
    </row>
    <row r="9" spans="1:10" ht="16.5" thickBot="1" x14ac:dyDescent="0.3">
      <c r="A9" s="347"/>
      <c r="B9" s="347"/>
      <c r="C9" s="925" t="s">
        <v>679</v>
      </c>
      <c r="D9" s="925"/>
      <c r="E9" s="925"/>
      <c r="F9" s="925"/>
      <c r="G9" s="925"/>
      <c r="H9" s="343"/>
      <c r="I9" s="343"/>
      <c r="J9" s="343"/>
    </row>
    <row r="10" spans="1:10" ht="51" x14ac:dyDescent="0.25">
      <c r="A10" s="348" t="s">
        <v>1024</v>
      </c>
      <c r="B10" s="342" t="s">
        <v>978</v>
      </c>
      <c r="C10" s="342" t="s">
        <v>962</v>
      </c>
      <c r="D10" s="342" t="s">
        <v>961</v>
      </c>
      <c r="E10" s="342" t="s">
        <v>960</v>
      </c>
      <c r="F10" s="342" t="s">
        <v>959</v>
      </c>
      <c r="G10" s="342" t="s">
        <v>958</v>
      </c>
      <c r="H10" s="349" t="s">
        <v>1025</v>
      </c>
      <c r="J10" s="350"/>
    </row>
    <row r="11" spans="1:10" ht="30" customHeight="1" x14ac:dyDescent="0.25">
      <c r="A11" s="351" t="s">
        <v>1026</v>
      </c>
      <c r="B11" s="352">
        <v>0</v>
      </c>
      <c r="C11" s="353">
        <v>1</v>
      </c>
      <c r="D11" s="353">
        <v>1</v>
      </c>
      <c r="E11" s="353">
        <v>1</v>
      </c>
      <c r="F11" s="354">
        <v>1</v>
      </c>
      <c r="G11" s="355">
        <v>1</v>
      </c>
      <c r="H11" s="356">
        <v>1</v>
      </c>
      <c r="J11" s="343"/>
    </row>
    <row r="12" spans="1:10" s="1" customFormat="1" ht="42.75" customHeight="1" x14ac:dyDescent="0.25">
      <c r="A12" s="357" t="s">
        <v>1027</v>
      </c>
      <c r="B12" s="354">
        <v>0</v>
      </c>
      <c r="C12" s="354">
        <v>0</v>
      </c>
      <c r="D12" s="354">
        <v>0</v>
      </c>
      <c r="E12" s="354">
        <v>0</v>
      </c>
      <c r="F12" s="354">
        <v>0</v>
      </c>
      <c r="G12" s="355">
        <v>0</v>
      </c>
      <c r="H12" s="358">
        <v>0</v>
      </c>
      <c r="J12" s="359"/>
    </row>
    <row r="13" spans="1:10" ht="48" x14ac:dyDescent="0.25">
      <c r="A13" s="351" t="s">
        <v>1028</v>
      </c>
      <c r="B13" s="352">
        <v>1</v>
      </c>
      <c r="C13" s="353">
        <v>2</v>
      </c>
      <c r="D13" s="353">
        <v>4</v>
      </c>
      <c r="E13" s="353">
        <v>3</v>
      </c>
      <c r="F13" s="354">
        <v>3</v>
      </c>
      <c r="G13" s="355">
        <v>7</v>
      </c>
      <c r="H13" s="356">
        <v>7</v>
      </c>
      <c r="J13" s="343"/>
    </row>
    <row r="14" spans="1:10" ht="24" x14ac:dyDescent="0.25">
      <c r="A14" s="351" t="s">
        <v>1020</v>
      </c>
      <c r="B14" s="352">
        <v>0</v>
      </c>
      <c r="C14" s="353">
        <v>26</v>
      </c>
      <c r="D14" s="353">
        <v>26</v>
      </c>
      <c r="E14" s="353">
        <v>26</v>
      </c>
      <c r="F14" s="354">
        <v>26</v>
      </c>
      <c r="G14" s="355">
        <v>26</v>
      </c>
      <c r="H14" s="356">
        <v>26</v>
      </c>
      <c r="J14" s="343"/>
    </row>
    <row r="15" spans="1:10" ht="24" x14ac:dyDescent="0.25">
      <c r="A15" s="351" t="s">
        <v>1018</v>
      </c>
      <c r="B15" s="352">
        <v>0</v>
      </c>
      <c r="C15" s="353">
        <v>1</v>
      </c>
      <c r="D15" s="353">
        <v>1</v>
      </c>
      <c r="E15" s="353">
        <v>1</v>
      </c>
      <c r="F15" s="354">
        <v>1</v>
      </c>
      <c r="G15" s="355">
        <v>1</v>
      </c>
      <c r="H15" s="356">
        <v>1</v>
      </c>
      <c r="J15" s="343"/>
    </row>
    <row r="16" spans="1:10" ht="36" x14ac:dyDescent="0.25">
      <c r="A16" s="351" t="s">
        <v>1019</v>
      </c>
      <c r="B16" s="352">
        <v>222</v>
      </c>
      <c r="C16" s="353">
        <v>356</v>
      </c>
      <c r="D16" s="353">
        <v>348</v>
      </c>
      <c r="E16" s="353">
        <v>310</v>
      </c>
      <c r="F16" s="354">
        <v>310</v>
      </c>
      <c r="G16" s="355">
        <v>281</v>
      </c>
      <c r="H16" s="356">
        <v>280</v>
      </c>
      <c r="J16" s="343"/>
    </row>
    <row r="17" spans="1:10" ht="36" x14ac:dyDescent="0.25">
      <c r="A17" s="351" t="s">
        <v>1029</v>
      </c>
      <c r="B17" s="352">
        <v>35</v>
      </c>
      <c r="C17" s="360">
        <v>72</v>
      </c>
      <c r="D17" s="360">
        <v>23</v>
      </c>
      <c r="E17" s="360">
        <v>79</v>
      </c>
      <c r="F17" s="361">
        <v>79</v>
      </c>
      <c r="G17" s="362">
        <v>1</v>
      </c>
      <c r="H17" s="356">
        <v>35</v>
      </c>
      <c r="J17" s="343"/>
    </row>
    <row r="18" spans="1:10" ht="24" x14ac:dyDescent="0.25">
      <c r="A18" s="351" t="s">
        <v>1030</v>
      </c>
      <c r="B18" s="352">
        <v>0</v>
      </c>
      <c r="C18" s="353">
        <v>15</v>
      </c>
      <c r="D18" s="353">
        <v>15</v>
      </c>
      <c r="E18" s="353">
        <v>15</v>
      </c>
      <c r="F18" s="354">
        <v>15</v>
      </c>
      <c r="G18" s="355">
        <v>15</v>
      </c>
      <c r="H18" s="356">
        <v>15</v>
      </c>
      <c r="J18" s="343"/>
    </row>
    <row r="19" spans="1:10" x14ac:dyDescent="0.25">
      <c r="A19" s="351" t="s">
        <v>1031</v>
      </c>
      <c r="B19" s="352">
        <v>0</v>
      </c>
      <c r="C19" s="353">
        <v>13</v>
      </c>
      <c r="D19" s="353">
        <v>13</v>
      </c>
      <c r="E19" s="353">
        <v>13</v>
      </c>
      <c r="F19" s="354">
        <v>13</v>
      </c>
      <c r="G19" s="355">
        <v>13</v>
      </c>
      <c r="H19" s="356">
        <v>13</v>
      </c>
      <c r="J19" s="343"/>
    </row>
    <row r="20" spans="1:10" ht="36" x14ac:dyDescent="0.25">
      <c r="A20" s="351" t="s">
        <v>1032</v>
      </c>
      <c r="B20" s="352">
        <v>0</v>
      </c>
      <c r="C20" s="353">
        <v>13</v>
      </c>
      <c r="D20" s="353">
        <v>13</v>
      </c>
      <c r="E20" s="353">
        <v>13</v>
      </c>
      <c r="F20" s="354">
        <v>13</v>
      </c>
      <c r="G20" s="355">
        <v>13</v>
      </c>
      <c r="H20" s="356">
        <v>13</v>
      </c>
      <c r="J20" s="343"/>
    </row>
    <row r="21" spans="1:10" x14ac:dyDescent="0.25">
      <c r="A21" s="343"/>
      <c r="B21" s="343"/>
      <c r="C21" s="343"/>
      <c r="D21" s="343"/>
      <c r="E21" s="343"/>
      <c r="F21" s="343"/>
      <c r="G21" s="343"/>
      <c r="H21" s="343"/>
      <c r="I21" s="343"/>
      <c r="J21" s="343"/>
    </row>
    <row r="22" spans="1:10" x14ac:dyDescent="0.25">
      <c r="A22" s="343"/>
      <c r="B22" s="343"/>
      <c r="C22" s="343"/>
      <c r="D22" s="343"/>
      <c r="E22" s="343"/>
      <c r="F22" s="343"/>
      <c r="G22" s="343"/>
      <c r="H22" s="343"/>
      <c r="I22" s="343"/>
      <c r="J22" s="343"/>
    </row>
    <row r="23" spans="1:10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</row>
  </sheetData>
  <mergeCells count="3">
    <mergeCell ref="A1:H1"/>
    <mergeCell ref="A3:G3"/>
    <mergeCell ref="C9:G9"/>
  </mergeCells>
  <printOptions horizontalCentered="1" verticalCentered="1"/>
  <pageMargins left="0.70866141732283472" right="0.70866141732283472" top="0.54" bottom="0.39370078740157483" header="0.31496062992125984" footer="0.15748031496062992"/>
  <pageSetup paperSize="9" orientation="landscape" r:id="rId1"/>
  <headerFooter>
    <oddHeader>&amp;CDunaharaszti Város Önkormányzat 2016. évi zárszámadás&amp;R&amp;A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Normal="100" zoomScaleSheetLayoutView="100" workbookViewId="0">
      <selection activeCell="G14" sqref="G14"/>
    </sheetView>
  </sheetViews>
  <sheetFormatPr defaultRowHeight="15" x14ac:dyDescent="0.25"/>
  <cols>
    <col min="2" max="2" width="38.140625" customWidth="1"/>
    <col min="3" max="7" width="14.85546875" customWidth="1"/>
  </cols>
  <sheetData>
    <row r="1" spans="1:8" ht="17.25" x14ac:dyDescent="0.3">
      <c r="A1" s="922" t="s">
        <v>616</v>
      </c>
      <c r="B1" s="922"/>
      <c r="C1" s="922"/>
      <c r="D1" s="922"/>
      <c r="E1" s="922"/>
      <c r="F1" s="922"/>
      <c r="G1" s="922"/>
      <c r="H1" s="922"/>
    </row>
    <row r="2" spans="1:8" ht="15.75" x14ac:dyDescent="0.25">
      <c r="A2" s="197"/>
      <c r="B2" s="926"/>
      <c r="C2" s="926"/>
      <c r="D2" s="926"/>
      <c r="E2" s="926"/>
      <c r="F2" s="926"/>
      <c r="G2" s="926"/>
    </row>
    <row r="3" spans="1:8" x14ac:dyDescent="0.25">
      <c r="A3" s="197"/>
      <c r="B3" s="200"/>
      <c r="C3" s="200"/>
      <c r="D3" s="200"/>
      <c r="E3" s="200"/>
      <c r="F3" s="200"/>
      <c r="G3" s="197"/>
    </row>
    <row r="4" spans="1:8" ht="23.25" customHeight="1" x14ac:dyDescent="0.25">
      <c r="A4" s="313" t="s">
        <v>965</v>
      </c>
      <c r="B4" s="312"/>
      <c r="C4" s="312"/>
      <c r="D4" s="312"/>
      <c r="E4" s="312"/>
      <c r="F4" s="197"/>
      <c r="G4" s="197"/>
    </row>
    <row r="5" spans="1:8" ht="15.75" x14ac:dyDescent="0.25">
      <c r="A5" s="195" t="s">
        <v>964</v>
      </c>
      <c r="B5" s="195"/>
      <c r="C5" s="195"/>
      <c r="D5" s="195"/>
      <c r="E5" s="195"/>
      <c r="F5" s="197"/>
      <c r="G5" s="197"/>
    </row>
    <row r="6" spans="1:8" ht="15.75" x14ac:dyDescent="0.25">
      <c r="A6" s="311" t="s">
        <v>963</v>
      </c>
      <c r="B6" s="195"/>
      <c r="C6" s="197"/>
      <c r="D6" s="197"/>
      <c r="E6" s="197"/>
      <c r="F6" s="197"/>
      <c r="G6" s="197"/>
    </row>
    <row r="7" spans="1:8" ht="15.75" x14ac:dyDescent="0.25">
      <c r="A7" s="187" t="s">
        <v>619</v>
      </c>
      <c r="B7" s="187"/>
      <c r="C7" s="187"/>
      <c r="D7" s="187"/>
      <c r="E7" s="187"/>
      <c r="F7" s="197"/>
      <c r="G7" s="197"/>
    </row>
    <row r="8" spans="1:8" ht="15.75" x14ac:dyDescent="0.25">
      <c r="A8" s="187"/>
      <c r="B8" s="187"/>
      <c r="C8" s="927" t="s">
        <v>679</v>
      </c>
      <c r="D8" s="927"/>
      <c r="E8" s="927"/>
      <c r="F8" s="927"/>
      <c r="G8" s="927"/>
    </row>
    <row r="9" spans="1:8" x14ac:dyDescent="0.25">
      <c r="A9" s="310" t="s">
        <v>641</v>
      </c>
      <c r="B9" s="310" t="s">
        <v>2</v>
      </c>
      <c r="C9" s="310" t="s">
        <v>962</v>
      </c>
      <c r="D9" s="310" t="s">
        <v>961</v>
      </c>
      <c r="E9" s="310" t="s">
        <v>960</v>
      </c>
      <c r="F9" s="537" t="s">
        <v>959</v>
      </c>
      <c r="G9" s="310" t="s">
        <v>958</v>
      </c>
    </row>
    <row r="10" spans="1:8" ht="24.75" customHeight="1" x14ac:dyDescent="0.25">
      <c r="A10" s="308" t="s">
        <v>3</v>
      </c>
      <c r="B10" s="307" t="s">
        <v>957</v>
      </c>
      <c r="C10" s="306">
        <v>1.7849999999999999</v>
      </c>
      <c r="D10" s="306">
        <v>1.7849999999999999</v>
      </c>
      <c r="E10" s="306">
        <v>1.7849999999999999</v>
      </c>
      <c r="F10" s="306">
        <v>1.7849999999999999</v>
      </c>
      <c r="G10" s="306">
        <v>1.7849999999999999</v>
      </c>
    </row>
    <row r="11" spans="1:8" ht="47.25" x14ac:dyDescent="0.25">
      <c r="A11" s="308" t="s">
        <v>4</v>
      </c>
      <c r="B11" s="309" t="s">
        <v>956</v>
      </c>
      <c r="C11" s="306">
        <v>119.62</v>
      </c>
      <c r="D11" s="306">
        <v>130.94</v>
      </c>
      <c r="E11" s="306">
        <v>130.94</v>
      </c>
      <c r="F11" s="306">
        <v>130.94</v>
      </c>
      <c r="G11" s="306">
        <v>130.94</v>
      </c>
    </row>
    <row r="12" spans="1:8" ht="36.75" customHeight="1" x14ac:dyDescent="0.25">
      <c r="A12" s="308" t="s">
        <v>5</v>
      </c>
      <c r="B12" s="307" t="s">
        <v>955</v>
      </c>
      <c r="C12" s="306">
        <v>13.06</v>
      </c>
      <c r="D12" s="306">
        <v>23.76</v>
      </c>
      <c r="E12" s="306">
        <v>23.76</v>
      </c>
      <c r="F12" s="306">
        <v>23.76</v>
      </c>
      <c r="G12" s="306">
        <v>23.76</v>
      </c>
    </row>
    <row r="13" spans="1:8" x14ac:dyDescent="0.25">
      <c r="A13" s="197"/>
      <c r="B13" s="197"/>
      <c r="C13" s="197"/>
      <c r="D13" s="197"/>
      <c r="E13" s="197"/>
      <c r="F13" s="197"/>
      <c r="G13" s="197"/>
    </row>
    <row r="14" spans="1:8" x14ac:dyDescent="0.25">
      <c r="A14" s="197"/>
      <c r="B14" s="197"/>
      <c r="C14" s="197"/>
      <c r="D14" s="197"/>
      <c r="E14" s="197"/>
      <c r="F14" s="197"/>
      <c r="G14" s="197"/>
    </row>
    <row r="15" spans="1:8" x14ac:dyDescent="0.25">
      <c r="A15" s="197"/>
      <c r="B15" s="197"/>
      <c r="C15" s="197"/>
      <c r="D15" s="197"/>
      <c r="E15" s="197"/>
      <c r="F15" s="197"/>
      <c r="G15" s="197"/>
    </row>
    <row r="16" spans="1:8" x14ac:dyDescent="0.25">
      <c r="A16" s="197"/>
      <c r="B16" s="197"/>
      <c r="C16" s="197"/>
      <c r="D16" s="197"/>
      <c r="E16" s="197"/>
      <c r="F16" s="197"/>
      <c r="G16" s="197"/>
    </row>
    <row r="17" spans="1:7" x14ac:dyDescent="0.25">
      <c r="A17" s="197"/>
      <c r="B17" s="197"/>
      <c r="C17" s="197"/>
      <c r="D17" s="197"/>
      <c r="E17" s="197"/>
      <c r="F17" s="197"/>
      <c r="G17" s="197"/>
    </row>
    <row r="18" spans="1:7" x14ac:dyDescent="0.25">
      <c r="A18" s="197"/>
      <c r="B18" s="197"/>
      <c r="C18" s="197"/>
      <c r="D18" s="197"/>
      <c r="E18" s="197"/>
      <c r="F18" s="197"/>
      <c r="G18" s="197"/>
    </row>
    <row r="19" spans="1:7" x14ac:dyDescent="0.25">
      <c r="A19" s="197"/>
      <c r="B19" s="197"/>
      <c r="C19" s="197"/>
      <c r="D19" s="197"/>
      <c r="E19" s="197"/>
      <c r="F19" s="197"/>
      <c r="G19" s="197"/>
    </row>
    <row r="20" spans="1:7" x14ac:dyDescent="0.25">
      <c r="A20" s="197"/>
      <c r="B20" s="197"/>
      <c r="C20" s="197"/>
      <c r="D20" s="197"/>
      <c r="E20" s="197"/>
      <c r="F20" s="197"/>
      <c r="G20" s="197"/>
    </row>
  </sheetData>
  <mergeCells count="3">
    <mergeCell ref="A1:H1"/>
    <mergeCell ref="B2:G2"/>
    <mergeCell ref="C8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 2016. évi zárszámadás
&amp;R&amp;A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10.28515625" customWidth="1"/>
    <col min="2" max="2" width="41.42578125" customWidth="1"/>
    <col min="3" max="3" width="12.7109375" customWidth="1"/>
    <col min="4" max="4" width="12.140625" customWidth="1"/>
    <col min="5" max="5" width="12.42578125" customWidth="1"/>
    <col min="6" max="6" width="12.5703125" customWidth="1"/>
    <col min="7" max="7" width="12.85546875" customWidth="1"/>
  </cols>
  <sheetData>
    <row r="1" spans="1:8" ht="17.25" x14ac:dyDescent="0.3">
      <c r="A1" s="922" t="s">
        <v>616</v>
      </c>
      <c r="B1" s="922"/>
      <c r="C1" s="922"/>
      <c r="D1" s="922"/>
      <c r="E1" s="922"/>
      <c r="F1" s="922"/>
      <c r="G1" s="922"/>
      <c r="H1" s="922"/>
    </row>
    <row r="2" spans="1:8" x14ac:dyDescent="0.25">
      <c r="A2" s="314"/>
      <c r="B2" s="314"/>
      <c r="C2" s="314"/>
      <c r="D2" s="314"/>
      <c r="E2" s="314"/>
      <c r="F2" s="314"/>
      <c r="G2" s="314"/>
    </row>
    <row r="3" spans="1:8" x14ac:dyDescent="0.25">
      <c r="A3" s="314"/>
      <c r="B3" s="314"/>
      <c r="C3" s="314"/>
      <c r="D3" s="314"/>
      <c r="E3" s="314"/>
      <c r="F3" s="314"/>
      <c r="G3" s="314"/>
    </row>
    <row r="4" spans="1:8" ht="33" customHeight="1" x14ac:dyDescent="0.25">
      <c r="A4" s="928" t="s">
        <v>966</v>
      </c>
      <c r="B4" s="928"/>
      <c r="C4" s="928"/>
      <c r="D4" s="928"/>
      <c r="E4" s="928"/>
      <c r="F4" s="928"/>
      <c r="G4" s="928"/>
      <c r="H4" s="928"/>
    </row>
    <row r="5" spans="1:8" ht="15.75" x14ac:dyDescent="0.25">
      <c r="A5" s="315" t="s">
        <v>967</v>
      </c>
      <c r="B5" s="315"/>
      <c r="C5" s="315"/>
      <c r="D5" s="315"/>
      <c r="E5" s="315"/>
      <c r="F5" s="314"/>
      <c r="G5" s="314"/>
    </row>
    <row r="6" spans="1:8" x14ac:dyDescent="0.25">
      <c r="A6" s="316" t="s">
        <v>617</v>
      </c>
      <c r="B6" s="314"/>
      <c r="C6" s="314"/>
      <c r="D6" s="314"/>
      <c r="E6" s="314"/>
      <c r="F6" s="314"/>
      <c r="G6" s="314"/>
    </row>
    <row r="7" spans="1:8" ht="15.75" x14ac:dyDescent="0.25">
      <c r="A7" s="317" t="s">
        <v>619</v>
      </c>
      <c r="B7" s="317"/>
      <c r="C7" s="317"/>
      <c r="D7" s="317"/>
      <c r="E7" s="317"/>
      <c r="F7" s="314"/>
      <c r="G7" s="314"/>
    </row>
    <row r="8" spans="1:8" ht="15.75" x14ac:dyDescent="0.25">
      <c r="A8" s="317"/>
      <c r="B8" s="317"/>
    </row>
    <row r="9" spans="1:8" ht="15.75" x14ac:dyDescent="0.25">
      <c r="A9" s="314"/>
      <c r="B9" s="314"/>
      <c r="C9" s="929" t="s">
        <v>679</v>
      </c>
      <c r="D9" s="929"/>
      <c r="E9" s="929"/>
      <c r="F9" s="929"/>
      <c r="G9" s="929"/>
    </row>
    <row r="10" spans="1:8" x14ac:dyDescent="0.25">
      <c r="A10" s="318" t="s">
        <v>641</v>
      </c>
      <c r="B10" s="319" t="s">
        <v>2</v>
      </c>
      <c r="C10" s="319" t="s">
        <v>962</v>
      </c>
      <c r="D10" s="319" t="s">
        <v>961</v>
      </c>
      <c r="E10" s="319" t="s">
        <v>960</v>
      </c>
      <c r="F10" s="319" t="s">
        <v>959</v>
      </c>
      <c r="G10" s="320" t="s">
        <v>958</v>
      </c>
    </row>
    <row r="11" spans="1:8" ht="33" customHeight="1" x14ac:dyDescent="0.25">
      <c r="A11" s="321" t="s">
        <v>3</v>
      </c>
      <c r="B11" s="322" t="s">
        <v>968</v>
      </c>
      <c r="C11" s="323">
        <v>8882</v>
      </c>
      <c r="D11" s="323">
        <v>8882</v>
      </c>
      <c r="E11" s="323">
        <v>8882</v>
      </c>
      <c r="F11" s="324">
        <v>8882</v>
      </c>
      <c r="G11" s="324">
        <v>8882</v>
      </c>
    </row>
    <row r="12" spans="1:8" ht="31.5" x14ac:dyDescent="0.25">
      <c r="A12" s="321" t="s">
        <v>4</v>
      </c>
      <c r="B12" s="322" t="s">
        <v>969</v>
      </c>
      <c r="C12" s="323">
        <v>126.04</v>
      </c>
      <c r="D12" s="323">
        <v>126</v>
      </c>
      <c r="E12" s="323">
        <v>126</v>
      </c>
      <c r="F12" s="324">
        <v>126</v>
      </c>
      <c r="G12" s="324">
        <v>126</v>
      </c>
    </row>
    <row r="13" spans="1:8" ht="15.75" x14ac:dyDescent="0.25">
      <c r="A13" s="321" t="s">
        <v>5</v>
      </c>
      <c r="B13" s="322" t="s">
        <v>970</v>
      </c>
      <c r="C13" s="323">
        <v>15</v>
      </c>
      <c r="D13" s="323">
        <v>0</v>
      </c>
      <c r="E13" s="323">
        <v>0</v>
      </c>
      <c r="F13" s="324">
        <v>0</v>
      </c>
      <c r="G13" s="324">
        <v>0</v>
      </c>
    </row>
    <row r="14" spans="1:8" ht="31.5" x14ac:dyDescent="0.25">
      <c r="A14" s="325" t="s">
        <v>6</v>
      </c>
      <c r="B14" s="326" t="s">
        <v>971</v>
      </c>
      <c r="C14" s="327">
        <v>822</v>
      </c>
      <c r="D14" s="327">
        <v>822</v>
      </c>
      <c r="E14" s="327">
        <v>822</v>
      </c>
      <c r="F14" s="328">
        <v>822</v>
      </c>
      <c r="G14" s="328">
        <v>822</v>
      </c>
    </row>
    <row r="15" spans="1:8" x14ac:dyDescent="0.25">
      <c r="A15" s="314"/>
      <c r="B15" s="314"/>
      <c r="C15" s="314"/>
      <c r="D15" s="314"/>
      <c r="E15" s="314"/>
      <c r="F15" s="314"/>
      <c r="G15" s="314"/>
    </row>
    <row r="16" spans="1:8" x14ac:dyDescent="0.25">
      <c r="A16" s="314"/>
      <c r="B16" s="314"/>
      <c r="C16" s="314"/>
      <c r="D16" s="314"/>
      <c r="E16" s="314"/>
      <c r="F16" s="314"/>
      <c r="G16" s="314"/>
    </row>
  </sheetData>
  <mergeCells count="3">
    <mergeCell ref="A1:H1"/>
    <mergeCell ref="A4:H4"/>
    <mergeCell ref="C9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&amp;CDunaharaszti Város Önkormányzat 2016. évi zárszámadás&amp;R&amp;A</oddHeader>
    <oddFooter>&amp;C&amp;P/&amp;N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4"/>
  <sheetViews>
    <sheetView showWhiteSpace="0" view="pageLayout" zoomScale="70" zoomScaleNormal="100" zoomScalePageLayoutView="70" workbookViewId="0">
      <selection activeCell="B14" sqref="B14:C14"/>
    </sheetView>
  </sheetViews>
  <sheetFormatPr defaultColWidth="9.140625" defaultRowHeight="15" x14ac:dyDescent="0.25"/>
  <cols>
    <col min="1" max="1" width="8.140625" style="1" customWidth="1"/>
    <col min="2" max="2" width="9.140625" style="1"/>
    <col min="3" max="3" width="51.42578125" style="1" customWidth="1"/>
    <col min="4" max="9" width="23.85546875" style="1" customWidth="1"/>
    <col min="10" max="10" width="22.42578125" style="1" customWidth="1"/>
    <col min="11" max="11" width="25.7109375" style="1" customWidth="1"/>
    <col min="12" max="16384" width="9.140625" style="1"/>
  </cols>
  <sheetData>
    <row r="1" spans="1:11" ht="36.75" customHeight="1" x14ac:dyDescent="0.35">
      <c r="A1" s="752" t="s">
        <v>0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</row>
    <row r="2" spans="1:11" ht="40.5" customHeight="1" x14ac:dyDescent="0.25"/>
    <row r="3" spans="1:11" ht="19.5" customHeight="1" x14ac:dyDescent="0.3">
      <c r="A3" s="753" t="s">
        <v>1</v>
      </c>
      <c r="B3" s="754" t="s">
        <v>2</v>
      </c>
      <c r="C3" s="75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756" t="s">
        <v>10</v>
      </c>
    </row>
    <row r="4" spans="1:11" ht="78" x14ac:dyDescent="0.25">
      <c r="A4" s="753"/>
      <c r="B4" s="749"/>
      <c r="C4" s="742"/>
      <c r="D4" s="367" t="s">
        <v>11</v>
      </c>
      <c r="E4" s="367" t="s">
        <v>12</v>
      </c>
      <c r="F4" s="367" t="s">
        <v>13</v>
      </c>
      <c r="G4" s="367" t="s">
        <v>14</v>
      </c>
      <c r="H4" s="367" t="s">
        <v>15</v>
      </c>
      <c r="I4" s="367" t="s">
        <v>67</v>
      </c>
      <c r="J4" s="367" t="s">
        <v>41</v>
      </c>
      <c r="K4" s="757"/>
    </row>
    <row r="5" spans="1:11" ht="23.25" x14ac:dyDescent="0.3">
      <c r="A5" s="3" t="s">
        <v>3</v>
      </c>
      <c r="B5" s="750" t="s">
        <v>16</v>
      </c>
      <c r="C5" s="751"/>
      <c r="D5" s="4">
        <v>11660486</v>
      </c>
      <c r="E5" s="4">
        <v>9894869</v>
      </c>
      <c r="F5" s="4">
        <v>187742485</v>
      </c>
      <c r="G5" s="4">
        <v>1315391</v>
      </c>
      <c r="H5" s="4">
        <v>984168</v>
      </c>
      <c r="I5" s="4">
        <v>6937164</v>
      </c>
      <c r="J5" s="4">
        <v>3066873</v>
      </c>
      <c r="K5" s="5">
        <f t="shared" ref="K5:K24" si="0">SUM(D5:J5)</f>
        <v>221601436</v>
      </c>
    </row>
    <row r="6" spans="1:11" ht="23.25" customHeight="1" x14ac:dyDescent="0.3">
      <c r="A6" s="3" t="s">
        <v>4</v>
      </c>
      <c r="B6" s="750" t="s">
        <v>17</v>
      </c>
      <c r="C6" s="751"/>
      <c r="D6" s="4">
        <v>451105635</v>
      </c>
      <c r="E6" s="4">
        <v>110995817</v>
      </c>
      <c r="F6" s="4">
        <v>539773666</v>
      </c>
      <c r="G6" s="4">
        <v>299262385</v>
      </c>
      <c r="H6" s="4">
        <v>363412000</v>
      </c>
      <c r="I6" s="4">
        <v>63905608</v>
      </c>
      <c r="J6" s="4">
        <v>39130971</v>
      </c>
      <c r="K6" s="5">
        <f t="shared" si="0"/>
        <v>1867586082</v>
      </c>
    </row>
    <row r="7" spans="1:11" ht="81" customHeight="1" x14ac:dyDescent="0.3">
      <c r="A7" s="6" t="s">
        <v>5</v>
      </c>
      <c r="B7" s="758" t="s">
        <v>18</v>
      </c>
      <c r="C7" s="759"/>
      <c r="D7" s="7">
        <f t="shared" ref="D7:J7" si="1">+D5-D6</f>
        <v>-439445149</v>
      </c>
      <c r="E7" s="7">
        <f t="shared" si="1"/>
        <v>-101100948</v>
      </c>
      <c r="F7" s="7">
        <f>+F5-F6</f>
        <v>-352031181</v>
      </c>
      <c r="G7" s="7">
        <f>+G5-G6</f>
        <v>-297946994</v>
      </c>
      <c r="H7" s="7">
        <f t="shared" si="1"/>
        <v>-362427832</v>
      </c>
      <c r="I7" s="7">
        <f t="shared" si="1"/>
        <v>-56968444</v>
      </c>
      <c r="J7" s="7">
        <f t="shared" si="1"/>
        <v>-36064098</v>
      </c>
      <c r="K7" s="8">
        <f t="shared" si="0"/>
        <v>-1645984646</v>
      </c>
    </row>
    <row r="8" spans="1:11" ht="23.25" customHeight="1" x14ac:dyDescent="0.3">
      <c r="A8" s="3" t="s">
        <v>6</v>
      </c>
      <c r="B8" s="750" t="s">
        <v>19</v>
      </c>
      <c r="C8" s="751"/>
      <c r="D8" s="4">
        <v>452786498</v>
      </c>
      <c r="E8" s="4">
        <v>106470943</v>
      </c>
      <c r="F8" s="4">
        <v>394464766</v>
      </c>
      <c r="G8" s="4">
        <v>304559885</v>
      </c>
      <c r="H8" s="4">
        <v>373632256</v>
      </c>
      <c r="I8" s="4">
        <v>61320827</v>
      </c>
      <c r="J8" s="4">
        <v>39010070</v>
      </c>
      <c r="K8" s="5">
        <f t="shared" si="0"/>
        <v>1732245245</v>
      </c>
    </row>
    <row r="9" spans="1:11" ht="23.25" customHeight="1" x14ac:dyDescent="0.3">
      <c r="A9" s="3" t="s">
        <v>7</v>
      </c>
      <c r="B9" s="750" t="s">
        <v>20</v>
      </c>
      <c r="C9" s="751"/>
      <c r="D9" s="4">
        <v>0</v>
      </c>
      <c r="E9" s="4">
        <v>0</v>
      </c>
      <c r="F9" s="4">
        <v>0</v>
      </c>
      <c r="G9" s="4">
        <v>0</v>
      </c>
      <c r="H9" s="4"/>
      <c r="I9" s="4"/>
      <c r="J9" s="4"/>
      <c r="K9" s="5">
        <f t="shared" si="0"/>
        <v>0</v>
      </c>
    </row>
    <row r="10" spans="1:11" ht="88.5" customHeight="1" x14ac:dyDescent="0.3">
      <c r="A10" s="9" t="s">
        <v>8</v>
      </c>
      <c r="B10" s="749" t="s">
        <v>21</v>
      </c>
      <c r="C10" s="742"/>
      <c r="D10" s="10">
        <f t="shared" ref="D10:J10" si="2">+D8-D9</f>
        <v>452786498</v>
      </c>
      <c r="E10" s="10">
        <f t="shared" si="2"/>
        <v>106470943</v>
      </c>
      <c r="F10" s="10">
        <f t="shared" si="2"/>
        <v>394464766</v>
      </c>
      <c r="G10" s="10">
        <f t="shared" si="2"/>
        <v>304559885</v>
      </c>
      <c r="H10" s="10">
        <f t="shared" si="2"/>
        <v>373632256</v>
      </c>
      <c r="I10" s="10">
        <f t="shared" si="2"/>
        <v>61320827</v>
      </c>
      <c r="J10" s="10">
        <f t="shared" si="2"/>
        <v>39010070</v>
      </c>
      <c r="K10" s="5">
        <f t="shared" si="0"/>
        <v>1732245245</v>
      </c>
    </row>
    <row r="11" spans="1:11" ht="73.900000000000006" customHeight="1" x14ac:dyDescent="0.3">
      <c r="A11" s="9" t="s">
        <v>9</v>
      </c>
      <c r="B11" s="749" t="s">
        <v>22</v>
      </c>
      <c r="C11" s="742"/>
      <c r="D11" s="10">
        <f t="shared" ref="D11:J11" si="3">+D7+D10</f>
        <v>13341349</v>
      </c>
      <c r="E11" s="10">
        <f t="shared" si="3"/>
        <v>5369995</v>
      </c>
      <c r="F11" s="10">
        <f t="shared" si="3"/>
        <v>42433585</v>
      </c>
      <c r="G11" s="10">
        <f t="shared" si="3"/>
        <v>6612891</v>
      </c>
      <c r="H11" s="10">
        <f t="shared" si="3"/>
        <v>11204424</v>
      </c>
      <c r="I11" s="10">
        <f t="shared" si="3"/>
        <v>4352383</v>
      </c>
      <c r="J11" s="10">
        <f t="shared" si="3"/>
        <v>2945972</v>
      </c>
      <c r="K11" s="5">
        <f t="shared" si="0"/>
        <v>86260599</v>
      </c>
    </row>
    <row r="12" spans="1:11" ht="23.25" customHeight="1" x14ac:dyDescent="0.3">
      <c r="A12" s="9" t="s">
        <v>23</v>
      </c>
      <c r="B12" s="749" t="s">
        <v>24</v>
      </c>
      <c r="C12" s="742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5">
        <f t="shared" si="0"/>
        <v>0</v>
      </c>
    </row>
    <row r="13" spans="1:11" ht="60.75" customHeight="1" x14ac:dyDescent="0.3">
      <c r="A13" s="9" t="s">
        <v>25</v>
      </c>
      <c r="B13" s="745" t="s">
        <v>26</v>
      </c>
      <c r="C13" s="746"/>
      <c r="D13" s="11">
        <f>+D11+D12</f>
        <v>13341349</v>
      </c>
      <c r="E13" s="11">
        <f t="shared" ref="E13:J13" si="4">+E11+E12</f>
        <v>5369995</v>
      </c>
      <c r="F13" s="11">
        <f t="shared" si="4"/>
        <v>42433585</v>
      </c>
      <c r="G13" s="11">
        <f t="shared" si="4"/>
        <v>6612891</v>
      </c>
      <c r="H13" s="11">
        <f t="shared" si="4"/>
        <v>11204424</v>
      </c>
      <c r="I13" s="11">
        <f t="shared" si="4"/>
        <v>4352383</v>
      </c>
      <c r="J13" s="11">
        <f t="shared" si="4"/>
        <v>2945972</v>
      </c>
      <c r="K13" s="5">
        <f t="shared" si="0"/>
        <v>86260599</v>
      </c>
    </row>
    <row r="14" spans="1:11" ht="42.75" customHeight="1" x14ac:dyDescent="0.3">
      <c r="A14" s="9" t="s">
        <v>27</v>
      </c>
      <c r="B14" s="740" t="s">
        <v>1468</v>
      </c>
      <c r="C14" s="741"/>
      <c r="D14" s="12">
        <v>910745</v>
      </c>
      <c r="E14" s="12">
        <v>264755</v>
      </c>
      <c r="F14" s="12">
        <v>952776</v>
      </c>
      <c r="G14" s="12">
        <v>793169</v>
      </c>
      <c r="H14" s="12">
        <v>438972</v>
      </c>
      <c r="I14" s="12">
        <v>611699</v>
      </c>
      <c r="J14" s="12">
        <v>537115</v>
      </c>
      <c r="K14" s="5">
        <f t="shared" si="0"/>
        <v>4509231</v>
      </c>
    </row>
    <row r="15" spans="1:11" ht="23.25" customHeight="1" x14ac:dyDescent="0.25">
      <c r="A15" s="736"/>
      <c r="B15" s="738" t="s">
        <v>29</v>
      </c>
      <c r="C15" s="739"/>
      <c r="D15" s="13">
        <f>+'[1]13.c.sz.m.Kötött maradvány'!C181</f>
        <v>910745</v>
      </c>
      <c r="E15" s="13">
        <f>+'[1]13.c.sz.m.Kötött maradvány'!C117</f>
        <v>264755</v>
      </c>
      <c r="F15" s="13">
        <f>+'[1]13.c.sz.m.Kötött maradvány'!C148</f>
        <v>952776</v>
      </c>
      <c r="G15" s="13">
        <f>+'[1]13.c.sz.m.Kötött maradvány'!C165</f>
        <v>793169</v>
      </c>
      <c r="H15" s="13">
        <f>+'[1]13.c.sz.m.Kötött maradvány'!C197</f>
        <v>438972</v>
      </c>
      <c r="I15" s="13">
        <f>+'[1]13.c.sz.m.Kötött maradvány'!C231</f>
        <v>611699</v>
      </c>
      <c r="J15" s="13">
        <f>+'[1]13.c.sz.m.Kötött maradvány'!C217</f>
        <v>537115</v>
      </c>
      <c r="K15" s="8">
        <f t="shared" si="0"/>
        <v>4509231</v>
      </c>
    </row>
    <row r="16" spans="1:11" ht="23.25" customHeight="1" x14ac:dyDescent="0.25">
      <c r="A16" s="737"/>
      <c r="B16" s="738" t="s">
        <v>30</v>
      </c>
      <c r="C16" s="739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8">
        <f t="shared" si="0"/>
        <v>0</v>
      </c>
    </row>
    <row r="17" spans="1:11" ht="59.25" customHeight="1" x14ac:dyDescent="0.3">
      <c r="A17" s="9" t="s">
        <v>31</v>
      </c>
      <c r="B17" s="745" t="s">
        <v>32</v>
      </c>
      <c r="C17" s="746"/>
      <c r="D17" s="11">
        <f t="shared" ref="D17:J17" si="5">+D11-D14</f>
        <v>12430604</v>
      </c>
      <c r="E17" s="11">
        <f t="shared" si="5"/>
        <v>5105240</v>
      </c>
      <c r="F17" s="11">
        <f t="shared" si="5"/>
        <v>41480809</v>
      </c>
      <c r="G17" s="11">
        <f t="shared" si="5"/>
        <v>5819722</v>
      </c>
      <c r="H17" s="11">
        <f t="shared" si="5"/>
        <v>10765452</v>
      </c>
      <c r="I17" s="11">
        <f t="shared" si="5"/>
        <v>3740684</v>
      </c>
      <c r="J17" s="11">
        <f t="shared" si="5"/>
        <v>2408857</v>
      </c>
      <c r="K17" s="5">
        <f t="shared" si="0"/>
        <v>81751368</v>
      </c>
    </row>
    <row r="18" spans="1:11" ht="23.25" customHeight="1" x14ac:dyDescent="0.3">
      <c r="A18" s="9" t="s">
        <v>33</v>
      </c>
      <c r="B18" s="742" t="s">
        <v>863</v>
      </c>
      <c r="C18" s="742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5">
        <f t="shared" si="0"/>
        <v>0</v>
      </c>
    </row>
    <row r="19" spans="1:11" ht="23.25" customHeight="1" x14ac:dyDescent="0.3">
      <c r="A19" s="9" t="s">
        <v>34</v>
      </c>
      <c r="B19" s="743" t="s">
        <v>35</v>
      </c>
      <c r="C19" s="744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f>SUM(I20:I21)</f>
        <v>378408</v>
      </c>
      <c r="J19" s="11">
        <v>0</v>
      </c>
      <c r="K19" s="5">
        <f t="shared" si="0"/>
        <v>378408</v>
      </c>
    </row>
    <row r="20" spans="1:11" ht="23.25" customHeight="1" x14ac:dyDescent="0.25">
      <c r="A20" s="736"/>
      <c r="B20" s="738" t="s">
        <v>29</v>
      </c>
      <c r="C20" s="739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+'[1]13.c.sz.m.Kötött maradvány'!C235</f>
        <v>378408</v>
      </c>
      <c r="J20" s="14">
        <v>0</v>
      </c>
      <c r="K20" s="8">
        <f t="shared" si="0"/>
        <v>378408</v>
      </c>
    </row>
    <row r="21" spans="1:11" ht="23.25" customHeight="1" x14ac:dyDescent="0.25">
      <c r="A21" s="737"/>
      <c r="B21" s="738" t="s">
        <v>30</v>
      </c>
      <c r="C21" s="739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>
        <f t="shared" si="0"/>
        <v>0</v>
      </c>
    </row>
    <row r="22" spans="1:11" ht="47.45" customHeight="1" x14ac:dyDescent="0.3">
      <c r="A22" s="9" t="s">
        <v>36</v>
      </c>
      <c r="B22" s="743" t="s">
        <v>37</v>
      </c>
      <c r="C22" s="744"/>
      <c r="D22" s="11">
        <f>+D17-D18-D19</f>
        <v>12430604</v>
      </c>
      <c r="E22" s="11">
        <f t="shared" ref="E22:J22" si="6">+E17-E18-E19</f>
        <v>5105240</v>
      </c>
      <c r="F22" s="11">
        <f t="shared" si="6"/>
        <v>41480809</v>
      </c>
      <c r="G22" s="11">
        <f t="shared" si="6"/>
        <v>5819722</v>
      </c>
      <c r="H22" s="11">
        <f t="shared" si="6"/>
        <v>10765452</v>
      </c>
      <c r="I22" s="11">
        <f t="shared" si="6"/>
        <v>3362276</v>
      </c>
      <c r="J22" s="11">
        <f t="shared" si="6"/>
        <v>2408857</v>
      </c>
      <c r="K22" s="5">
        <f t="shared" si="0"/>
        <v>81372960</v>
      </c>
    </row>
    <row r="23" spans="1:11" s="558" customFormat="1" ht="47.45" customHeight="1" x14ac:dyDescent="0.3">
      <c r="A23" s="555" t="s">
        <v>38</v>
      </c>
      <c r="B23" s="747" t="s">
        <v>1423</v>
      </c>
      <c r="C23" s="748"/>
      <c r="D23" s="556">
        <v>500000</v>
      </c>
      <c r="E23" s="556"/>
      <c r="F23" s="556"/>
      <c r="G23" s="556"/>
      <c r="H23" s="556"/>
      <c r="I23" s="556"/>
      <c r="J23" s="556"/>
      <c r="K23" s="557"/>
    </row>
    <row r="24" spans="1:11" ht="23.25" customHeight="1" x14ac:dyDescent="0.3">
      <c r="A24" s="9" t="s">
        <v>40</v>
      </c>
      <c r="B24" s="740" t="s">
        <v>39</v>
      </c>
      <c r="C24" s="741"/>
      <c r="D24" s="554">
        <f>+D22-D23</f>
        <v>11930604</v>
      </c>
      <c r="E24" s="12">
        <f t="shared" ref="E24:J24" si="7">+E22</f>
        <v>5105240</v>
      </c>
      <c r="F24" s="12">
        <f t="shared" si="7"/>
        <v>41480809</v>
      </c>
      <c r="G24" s="12">
        <f t="shared" si="7"/>
        <v>5819722</v>
      </c>
      <c r="H24" s="12">
        <f t="shared" si="7"/>
        <v>10765452</v>
      </c>
      <c r="I24" s="12">
        <f t="shared" si="7"/>
        <v>3362276</v>
      </c>
      <c r="J24" s="12">
        <f t="shared" si="7"/>
        <v>2408857</v>
      </c>
      <c r="K24" s="5">
        <f t="shared" si="0"/>
        <v>80872960</v>
      </c>
    </row>
  </sheetData>
  <mergeCells count="26">
    <mergeCell ref="B12:C12"/>
    <mergeCell ref="B13:C13"/>
    <mergeCell ref="B14:C14"/>
    <mergeCell ref="B6:C6"/>
    <mergeCell ref="A1:K1"/>
    <mergeCell ref="A3:A4"/>
    <mergeCell ref="B3:C4"/>
    <mergeCell ref="K3:K4"/>
    <mergeCell ref="B5:C5"/>
    <mergeCell ref="B7:C7"/>
    <mergeCell ref="B8:C8"/>
    <mergeCell ref="B9:C9"/>
    <mergeCell ref="B10:C10"/>
    <mergeCell ref="B11:C11"/>
    <mergeCell ref="A15:A16"/>
    <mergeCell ref="B15:C15"/>
    <mergeCell ref="B16:C16"/>
    <mergeCell ref="B24:C24"/>
    <mergeCell ref="B18:C18"/>
    <mergeCell ref="B19:C19"/>
    <mergeCell ref="A20:A21"/>
    <mergeCell ref="B20:C20"/>
    <mergeCell ref="B21:C21"/>
    <mergeCell ref="B22:C22"/>
    <mergeCell ref="B17:C17"/>
    <mergeCell ref="B23:C23"/>
  </mergeCells>
  <pageMargins left="0.31496062992125984" right="0.23622047244094491" top="0.59055118110236227" bottom="0.74803149606299213" header="0.31496062992125984" footer="0.31496062992125984"/>
  <pageSetup paperSize="9" scale="53" orientation="landscape" r:id="rId1"/>
  <headerFooter>
    <oddHeader>&amp;CDunaharaszti Város Önkormányzat 2016. évi zárszámadás&amp;R&amp;A</oddHeader>
    <oddFooter xml:space="preserve">&amp;C&amp;P/&amp;N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H29" sqref="H29"/>
    </sheetView>
  </sheetViews>
  <sheetFormatPr defaultRowHeight="15" x14ac:dyDescent="0.25"/>
  <cols>
    <col min="1" max="1" width="5.42578125" customWidth="1"/>
    <col min="2" max="2" width="20.7109375" customWidth="1"/>
    <col min="3" max="3" width="12" customWidth="1"/>
    <col min="5" max="5" width="11.28515625" customWidth="1"/>
    <col min="6" max="7" width="11.42578125" bestFit="1" customWidth="1"/>
    <col min="8" max="8" width="13.140625" style="1" customWidth="1"/>
    <col min="9" max="9" width="14.7109375" customWidth="1"/>
    <col min="10" max="10" width="12.85546875" customWidth="1"/>
    <col min="11" max="11" width="14.28515625" customWidth="1"/>
    <col min="12" max="12" width="14.5703125" customWidth="1"/>
  </cols>
  <sheetData>
    <row r="1" spans="1:12" ht="15" customHeight="1" x14ac:dyDescent="0.3">
      <c r="A1" s="922" t="s">
        <v>616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</row>
    <row r="2" spans="1:12" ht="15" customHeight="1" x14ac:dyDescent="0.25">
      <c r="A2" s="193"/>
      <c r="B2" s="193"/>
      <c r="C2" s="193"/>
      <c r="D2" s="193"/>
      <c r="E2" s="193"/>
      <c r="F2" s="193"/>
      <c r="G2" s="193"/>
      <c r="H2" s="329"/>
      <c r="I2" s="193"/>
      <c r="J2" s="193"/>
      <c r="K2" s="193"/>
      <c r="L2" s="193"/>
    </row>
    <row r="3" spans="1:12" x14ac:dyDescent="0.25">
      <c r="A3" s="194"/>
      <c r="B3" s="194"/>
      <c r="C3" s="194"/>
      <c r="D3" s="194"/>
      <c r="E3" s="194"/>
      <c r="F3" s="194"/>
      <c r="G3" s="194"/>
      <c r="H3" s="330"/>
      <c r="I3" s="194"/>
      <c r="J3" s="194"/>
      <c r="K3" s="194"/>
      <c r="L3" s="194"/>
    </row>
    <row r="4" spans="1:12" ht="15.75" customHeight="1" x14ac:dyDescent="0.25">
      <c r="A4" s="923" t="s">
        <v>972</v>
      </c>
      <c r="B4" s="923"/>
      <c r="C4" s="923"/>
      <c r="D4" s="923"/>
      <c r="E4" s="923"/>
      <c r="F4" s="923"/>
      <c r="G4" s="923"/>
      <c r="H4" s="923"/>
      <c r="I4" s="923"/>
      <c r="J4" s="923"/>
      <c r="K4" s="194"/>
      <c r="L4" s="194"/>
    </row>
    <row r="5" spans="1:12" ht="15.75" x14ac:dyDescent="0.25">
      <c r="A5" s="195" t="s">
        <v>973</v>
      </c>
      <c r="B5" s="195"/>
      <c r="C5" s="188"/>
      <c r="D5" s="188"/>
      <c r="E5" s="188"/>
      <c r="F5" s="188"/>
      <c r="G5" s="188"/>
      <c r="H5" s="188"/>
      <c r="I5" s="188"/>
      <c r="J5" s="194"/>
      <c r="K5" s="194"/>
      <c r="L5" s="194"/>
    </row>
    <row r="6" spans="1:12" ht="15.75" x14ac:dyDescent="0.25">
      <c r="A6" s="196" t="s">
        <v>629</v>
      </c>
      <c r="B6" s="197"/>
      <c r="C6" s="188"/>
      <c r="D6" s="188"/>
      <c r="E6" s="188"/>
      <c r="F6" s="188"/>
      <c r="G6" s="188"/>
      <c r="H6" s="188"/>
      <c r="I6" s="188"/>
      <c r="J6" s="194"/>
      <c r="K6" s="194"/>
      <c r="L6" s="194"/>
    </row>
    <row r="7" spans="1:12" ht="15.75" x14ac:dyDescent="0.25">
      <c r="A7" s="187" t="s">
        <v>619</v>
      </c>
      <c r="B7" s="187"/>
      <c r="C7" s="188"/>
      <c r="D7" s="188"/>
      <c r="E7" s="188"/>
      <c r="F7" s="188"/>
      <c r="G7" s="188"/>
      <c r="H7" s="188"/>
      <c r="I7" s="188"/>
      <c r="J7" s="194"/>
      <c r="K7" s="194"/>
      <c r="L7" s="194"/>
    </row>
    <row r="8" spans="1:12" x14ac:dyDescent="0.25">
      <c r="A8" s="194"/>
      <c r="B8" s="194"/>
      <c r="C8" s="194"/>
      <c r="D8" s="194"/>
      <c r="E8" s="194"/>
      <c r="F8" s="194"/>
      <c r="G8" s="194"/>
      <c r="H8" s="330"/>
      <c r="I8" s="194"/>
      <c r="J8" s="194"/>
      <c r="K8" s="194"/>
      <c r="L8" s="194"/>
    </row>
    <row r="9" spans="1:12" x14ac:dyDescent="0.25">
      <c r="A9" s="930" t="s">
        <v>974</v>
      </c>
      <c r="B9" s="931" t="s">
        <v>975</v>
      </c>
      <c r="C9" s="930" t="s">
        <v>976</v>
      </c>
      <c r="D9" s="930" t="s">
        <v>977</v>
      </c>
      <c r="E9" s="930" t="s">
        <v>978</v>
      </c>
      <c r="F9" s="930" t="s">
        <v>680</v>
      </c>
      <c r="G9" s="930"/>
      <c r="H9" s="930"/>
      <c r="I9" s="930"/>
      <c r="J9" s="930"/>
      <c r="K9" s="930"/>
      <c r="L9" s="930"/>
    </row>
    <row r="10" spans="1:12" x14ac:dyDescent="0.25">
      <c r="A10" s="930"/>
      <c r="B10" s="931"/>
      <c r="C10" s="930"/>
      <c r="D10" s="930"/>
      <c r="E10" s="930"/>
      <c r="F10" s="930" t="s">
        <v>979</v>
      </c>
      <c r="G10" s="930"/>
      <c r="H10" s="930" t="s">
        <v>980</v>
      </c>
      <c r="I10" s="930"/>
      <c r="J10" s="930"/>
      <c r="K10" s="930"/>
      <c r="L10" s="930"/>
    </row>
    <row r="11" spans="1:12" x14ac:dyDescent="0.25">
      <c r="A11" s="930"/>
      <c r="B11" s="931"/>
      <c r="C11" s="930"/>
      <c r="D11" s="930"/>
      <c r="E11" s="930"/>
      <c r="F11" s="930"/>
      <c r="G11" s="930"/>
      <c r="H11" s="930">
        <v>2012</v>
      </c>
      <c r="I11" s="930">
        <v>2013</v>
      </c>
      <c r="J11" s="930">
        <v>2014</v>
      </c>
      <c r="K11" s="930">
        <v>2015</v>
      </c>
      <c r="L11" s="930">
        <v>2016</v>
      </c>
    </row>
    <row r="12" spans="1:12" x14ac:dyDescent="0.25">
      <c r="A12" s="536"/>
      <c r="B12" s="538"/>
      <c r="C12" s="536"/>
      <c r="D12" s="536"/>
      <c r="E12" s="536"/>
      <c r="F12" s="536" t="s">
        <v>981</v>
      </c>
      <c r="G12" s="536" t="s">
        <v>982</v>
      </c>
      <c r="H12" s="930"/>
      <c r="I12" s="930" t="s">
        <v>981</v>
      </c>
      <c r="J12" s="930" t="s">
        <v>981</v>
      </c>
      <c r="K12" s="930" t="s">
        <v>981</v>
      </c>
      <c r="L12" s="930" t="s">
        <v>981</v>
      </c>
    </row>
    <row r="13" spans="1:12" x14ac:dyDescent="0.25">
      <c r="A13" s="935" t="s">
        <v>983</v>
      </c>
      <c r="B13" s="935"/>
      <c r="C13" s="935"/>
      <c r="D13" s="935"/>
      <c r="E13" s="935"/>
      <c r="F13" s="935"/>
      <c r="G13" s="935"/>
      <c r="H13" s="935"/>
      <c r="I13" s="935"/>
      <c r="J13" s="935"/>
      <c r="K13" s="935"/>
      <c r="L13" s="935"/>
    </row>
    <row r="14" spans="1:12" ht="45" x14ac:dyDescent="0.25">
      <c r="A14" s="331" t="s">
        <v>3</v>
      </c>
      <c r="B14" s="332" t="s">
        <v>984</v>
      </c>
      <c r="C14" s="536" t="s">
        <v>985</v>
      </c>
      <c r="D14" s="536" t="s">
        <v>986</v>
      </c>
      <c r="E14" s="333">
        <v>0</v>
      </c>
      <c r="F14" s="334">
        <v>3.48</v>
      </c>
      <c r="G14" s="334">
        <v>3.48</v>
      </c>
      <c r="H14" s="335">
        <v>3.48</v>
      </c>
      <c r="I14" s="335">
        <v>3.48</v>
      </c>
      <c r="J14" s="335">
        <v>3.48</v>
      </c>
      <c r="K14" s="335">
        <v>3.48</v>
      </c>
      <c r="L14" s="335">
        <v>3.48</v>
      </c>
    </row>
    <row r="15" spans="1:12" ht="45" x14ac:dyDescent="0.25">
      <c r="A15" s="331" t="s">
        <v>4</v>
      </c>
      <c r="B15" s="332" t="s">
        <v>987</v>
      </c>
      <c r="C15" s="536" t="s">
        <v>985</v>
      </c>
      <c r="D15" s="536" t="s">
        <v>988</v>
      </c>
      <c r="E15" s="336">
        <v>0</v>
      </c>
      <c r="F15" s="337">
        <v>321</v>
      </c>
      <c r="G15" s="337">
        <v>321</v>
      </c>
      <c r="H15" s="335">
        <v>321</v>
      </c>
      <c r="I15" s="335">
        <v>321</v>
      </c>
      <c r="J15" s="335">
        <v>321</v>
      </c>
      <c r="K15" s="335">
        <v>321</v>
      </c>
      <c r="L15" s="335">
        <v>321</v>
      </c>
    </row>
    <row r="16" spans="1:12" ht="78.75" x14ac:dyDescent="0.25">
      <c r="A16" s="331" t="s">
        <v>5</v>
      </c>
      <c r="B16" s="332" t="s">
        <v>989</v>
      </c>
      <c r="C16" s="536" t="s">
        <v>990</v>
      </c>
      <c r="D16" s="536" t="s">
        <v>991</v>
      </c>
      <c r="E16" s="336">
        <v>0</v>
      </c>
      <c r="F16" s="337">
        <v>11</v>
      </c>
      <c r="G16" s="337">
        <v>11</v>
      </c>
      <c r="H16" s="338">
        <v>11</v>
      </c>
      <c r="I16" s="338">
        <v>11</v>
      </c>
      <c r="J16" s="338">
        <v>11</v>
      </c>
      <c r="K16" s="338">
        <v>11</v>
      </c>
      <c r="L16" s="338">
        <v>11</v>
      </c>
    </row>
    <row r="17" spans="1:12" ht="78.75" x14ac:dyDescent="0.25">
      <c r="A17" s="331" t="s">
        <v>6</v>
      </c>
      <c r="B17" s="332" t="s">
        <v>992</v>
      </c>
      <c r="C17" s="536" t="s">
        <v>990</v>
      </c>
      <c r="D17" s="536" t="s">
        <v>991</v>
      </c>
      <c r="E17" s="336">
        <v>0</v>
      </c>
      <c r="F17" s="337">
        <v>2</v>
      </c>
      <c r="G17" s="337">
        <v>2</v>
      </c>
      <c r="H17" s="339">
        <v>3</v>
      </c>
      <c r="I17" s="339">
        <v>3</v>
      </c>
      <c r="J17" s="339">
        <v>3</v>
      </c>
      <c r="K17" s="339">
        <v>3</v>
      </c>
      <c r="L17" s="339">
        <v>3</v>
      </c>
    </row>
    <row r="18" spans="1:12" ht="22.5" x14ac:dyDescent="0.25">
      <c r="A18" s="331" t="s">
        <v>7</v>
      </c>
      <c r="B18" s="332" t="s">
        <v>993</v>
      </c>
      <c r="C18" s="536" t="s">
        <v>990</v>
      </c>
      <c r="D18" s="536" t="s">
        <v>988</v>
      </c>
      <c r="E18" s="336">
        <v>0</v>
      </c>
      <c r="F18" s="337">
        <v>1</v>
      </c>
      <c r="G18" s="337">
        <v>1</v>
      </c>
      <c r="H18" s="339">
        <v>2</v>
      </c>
      <c r="I18" s="339">
        <v>2</v>
      </c>
      <c r="J18" s="339">
        <v>2</v>
      </c>
      <c r="K18" s="339">
        <v>2</v>
      </c>
      <c r="L18" s="339">
        <v>2</v>
      </c>
    </row>
    <row r="19" spans="1:12" ht="33.75" x14ac:dyDescent="0.25">
      <c r="A19" s="331" t="s">
        <v>8</v>
      </c>
      <c r="B19" s="332" t="s">
        <v>994</v>
      </c>
      <c r="C19" s="536" t="s">
        <v>990</v>
      </c>
      <c r="D19" s="536" t="s">
        <v>988</v>
      </c>
      <c r="E19" s="336">
        <v>0</v>
      </c>
      <c r="F19" s="337">
        <v>0</v>
      </c>
      <c r="G19" s="337">
        <v>0</v>
      </c>
      <c r="H19" s="337">
        <v>2</v>
      </c>
      <c r="I19" s="337">
        <v>0</v>
      </c>
      <c r="J19" s="337">
        <v>0</v>
      </c>
      <c r="K19" s="337">
        <v>0</v>
      </c>
      <c r="L19" s="337">
        <v>0</v>
      </c>
    </row>
    <row r="20" spans="1:12" ht="45" x14ac:dyDescent="0.25">
      <c r="A20" s="331" t="s">
        <v>9</v>
      </c>
      <c r="B20" s="332" t="s">
        <v>995</v>
      </c>
      <c r="C20" s="536" t="s">
        <v>990</v>
      </c>
      <c r="D20" s="536" t="s">
        <v>988</v>
      </c>
      <c r="E20" s="336">
        <v>0</v>
      </c>
      <c r="F20" s="337">
        <v>0</v>
      </c>
      <c r="G20" s="337">
        <v>0</v>
      </c>
      <c r="H20" s="337">
        <v>0</v>
      </c>
      <c r="I20" s="337">
        <v>0</v>
      </c>
      <c r="J20" s="337">
        <v>0</v>
      </c>
      <c r="K20" s="337">
        <v>0</v>
      </c>
      <c r="L20" s="337">
        <v>0</v>
      </c>
    </row>
    <row r="21" spans="1:12" ht="22.5" x14ac:dyDescent="0.25">
      <c r="A21" s="331" t="s">
        <v>23</v>
      </c>
      <c r="B21" s="332" t="s">
        <v>996</v>
      </c>
      <c r="C21" s="536" t="s">
        <v>990</v>
      </c>
      <c r="D21" s="536" t="s">
        <v>988</v>
      </c>
      <c r="E21" s="336">
        <v>77</v>
      </c>
      <c r="F21" s="337">
        <v>77</v>
      </c>
      <c r="G21" s="337">
        <v>77</v>
      </c>
      <c r="H21" s="337">
        <v>77</v>
      </c>
      <c r="I21" s="337">
        <v>77</v>
      </c>
      <c r="J21" s="337">
        <v>77</v>
      </c>
      <c r="K21" s="337">
        <v>77</v>
      </c>
      <c r="L21" s="337">
        <v>77</v>
      </c>
    </row>
    <row r="22" spans="1:12" ht="56.25" x14ac:dyDescent="0.25">
      <c r="A22" s="331" t="s">
        <v>25</v>
      </c>
      <c r="B22" s="332" t="s">
        <v>997</v>
      </c>
      <c r="C22" s="536" t="s">
        <v>990</v>
      </c>
      <c r="D22" s="536" t="s">
        <v>991</v>
      </c>
      <c r="E22" s="336">
        <v>0</v>
      </c>
      <c r="F22" s="337">
        <v>5</v>
      </c>
      <c r="G22" s="337">
        <v>5</v>
      </c>
      <c r="H22" s="339">
        <v>0</v>
      </c>
      <c r="I22" s="339">
        <v>5</v>
      </c>
      <c r="J22" s="339">
        <v>5</v>
      </c>
      <c r="K22" s="339">
        <v>5</v>
      </c>
      <c r="L22" s="339">
        <v>5</v>
      </c>
    </row>
    <row r="23" spans="1:12" ht="45" x14ac:dyDescent="0.25">
      <c r="A23" s="331" t="s">
        <v>27</v>
      </c>
      <c r="B23" s="332" t="s">
        <v>998</v>
      </c>
      <c r="C23" s="536" t="s">
        <v>990</v>
      </c>
      <c r="D23" s="536" t="s">
        <v>999</v>
      </c>
      <c r="E23" s="336">
        <v>0</v>
      </c>
      <c r="F23" s="334">
        <v>0</v>
      </c>
      <c r="G23" s="334">
        <v>0</v>
      </c>
      <c r="H23" s="334">
        <v>0</v>
      </c>
      <c r="I23" s="333" t="s">
        <v>98</v>
      </c>
      <c r="J23" s="333" t="s">
        <v>98</v>
      </c>
      <c r="K23" s="333" t="s">
        <v>98</v>
      </c>
      <c r="L23" s="333" t="s">
        <v>98</v>
      </c>
    </row>
    <row r="24" spans="1:12" ht="22.5" x14ac:dyDescent="0.25">
      <c r="A24" s="331" t="s">
        <v>31</v>
      </c>
      <c r="B24" s="332" t="s">
        <v>1000</v>
      </c>
      <c r="C24" s="536" t="s">
        <v>985</v>
      </c>
      <c r="D24" s="536" t="s">
        <v>1001</v>
      </c>
      <c r="E24" s="336">
        <v>0</v>
      </c>
      <c r="F24" s="334">
        <v>16000</v>
      </c>
      <c r="G24" s="334">
        <v>16000</v>
      </c>
      <c r="H24" s="333" t="s">
        <v>98</v>
      </c>
      <c r="I24" s="335">
        <v>16000</v>
      </c>
      <c r="J24" s="335">
        <v>16000</v>
      </c>
      <c r="K24" s="335">
        <v>16000</v>
      </c>
      <c r="L24" s="335">
        <v>16000</v>
      </c>
    </row>
    <row r="25" spans="1:12" x14ac:dyDescent="0.25">
      <c r="A25" s="932" t="s">
        <v>1002</v>
      </c>
      <c r="B25" s="933"/>
      <c r="C25" s="933"/>
      <c r="D25" s="933"/>
      <c r="E25" s="933"/>
      <c r="F25" s="933"/>
      <c r="G25" s="933"/>
      <c r="H25" s="933"/>
      <c r="I25" s="933"/>
      <c r="J25" s="933"/>
      <c r="K25" s="933"/>
      <c r="L25" s="934"/>
    </row>
    <row r="26" spans="1:12" ht="33.75" x14ac:dyDescent="0.25">
      <c r="A26" s="340" t="s">
        <v>3</v>
      </c>
      <c r="B26" s="341" t="s">
        <v>1003</v>
      </c>
      <c r="C26" s="536" t="s">
        <v>985</v>
      </c>
      <c r="D26" s="536" t="s">
        <v>1001</v>
      </c>
      <c r="E26" s="334">
        <v>0</v>
      </c>
      <c r="F26" s="334">
        <v>740</v>
      </c>
      <c r="G26" s="334">
        <v>740</v>
      </c>
      <c r="H26" s="333" t="s">
        <v>98</v>
      </c>
      <c r="I26" s="335">
        <v>740</v>
      </c>
      <c r="J26" s="335">
        <v>740</v>
      </c>
      <c r="K26" s="335">
        <v>740</v>
      </c>
      <c r="L26" s="335">
        <v>740</v>
      </c>
    </row>
    <row r="27" spans="1:12" ht="33.75" x14ac:dyDescent="0.25">
      <c r="A27" s="340" t="s">
        <v>4</v>
      </c>
      <c r="B27" s="341" t="s">
        <v>1004</v>
      </c>
      <c r="C27" s="536" t="s">
        <v>985</v>
      </c>
      <c r="D27" s="536" t="s">
        <v>1001</v>
      </c>
      <c r="E27" s="333">
        <v>0</v>
      </c>
      <c r="F27" s="337">
        <v>8968</v>
      </c>
      <c r="G27" s="337">
        <v>8968</v>
      </c>
      <c r="H27" s="333" t="s">
        <v>98</v>
      </c>
      <c r="I27" s="339">
        <v>8968</v>
      </c>
      <c r="J27" s="339">
        <v>8968</v>
      </c>
      <c r="K27" s="339">
        <v>8968</v>
      </c>
      <c r="L27" s="339">
        <v>8968</v>
      </c>
    </row>
    <row r="28" spans="1:12" ht="33.75" x14ac:dyDescent="0.25">
      <c r="A28" s="340" t="s">
        <v>5</v>
      </c>
      <c r="B28" s="341" t="s">
        <v>1005</v>
      </c>
      <c r="C28" s="536" t="s">
        <v>985</v>
      </c>
      <c r="D28" s="536" t="s">
        <v>1001</v>
      </c>
      <c r="E28" s="333">
        <v>0</v>
      </c>
      <c r="F28" s="334">
        <v>20980</v>
      </c>
      <c r="G28" s="334">
        <v>20980</v>
      </c>
      <c r="H28" s="336" t="s">
        <v>98</v>
      </c>
      <c r="I28" s="335">
        <v>20980</v>
      </c>
      <c r="J28" s="335">
        <v>20980</v>
      </c>
      <c r="K28" s="335">
        <v>20980</v>
      </c>
      <c r="L28" s="335">
        <v>20980</v>
      </c>
    </row>
    <row r="29" spans="1:12" ht="56.25" x14ac:dyDescent="0.25">
      <c r="A29" s="340" t="s">
        <v>6</v>
      </c>
      <c r="B29" s="332" t="s">
        <v>1006</v>
      </c>
      <c r="C29" s="536" t="s">
        <v>985</v>
      </c>
      <c r="D29" s="536" t="s">
        <v>1001</v>
      </c>
      <c r="E29" s="333">
        <v>0</v>
      </c>
      <c r="F29" s="334">
        <v>490</v>
      </c>
      <c r="G29" s="334">
        <v>490</v>
      </c>
      <c r="H29" s="333" t="s">
        <v>98</v>
      </c>
      <c r="I29" s="335">
        <v>490</v>
      </c>
      <c r="J29" s="335">
        <v>490</v>
      </c>
      <c r="K29" s="335">
        <v>490</v>
      </c>
      <c r="L29" s="335">
        <v>490</v>
      </c>
    </row>
    <row r="30" spans="1:12" ht="22.5" x14ac:dyDescent="0.25">
      <c r="A30" s="340" t="s">
        <v>7</v>
      </c>
      <c r="B30" s="341" t="s">
        <v>1007</v>
      </c>
      <c r="C30" s="536" t="s">
        <v>985</v>
      </c>
      <c r="D30" s="536" t="s">
        <v>991</v>
      </c>
      <c r="E30" s="333">
        <v>0</v>
      </c>
      <c r="F30" s="337">
        <v>1</v>
      </c>
      <c r="G30" s="337">
        <v>1</v>
      </c>
      <c r="H30" s="333">
        <v>1</v>
      </c>
      <c r="I30" s="338">
        <v>1</v>
      </c>
      <c r="J30" s="338">
        <v>1</v>
      </c>
      <c r="K30" s="338">
        <v>1</v>
      </c>
      <c r="L30" s="338">
        <v>1</v>
      </c>
    </row>
    <row r="31" spans="1:12" ht="22.5" x14ac:dyDescent="0.25">
      <c r="A31" s="340" t="s">
        <v>8</v>
      </c>
      <c r="B31" s="341" t="s">
        <v>1008</v>
      </c>
      <c r="C31" s="536" t="s">
        <v>985</v>
      </c>
      <c r="D31" s="536" t="s">
        <v>991</v>
      </c>
      <c r="E31" s="333">
        <v>0</v>
      </c>
      <c r="F31" s="337">
        <v>0</v>
      </c>
      <c r="G31" s="337">
        <v>0</v>
      </c>
      <c r="H31" s="333" t="s">
        <v>98</v>
      </c>
      <c r="I31" s="339">
        <v>0</v>
      </c>
      <c r="J31" s="339">
        <v>0</v>
      </c>
      <c r="K31" s="339">
        <v>0</v>
      </c>
      <c r="L31" s="339">
        <v>0</v>
      </c>
    </row>
    <row r="32" spans="1:12" ht="67.5" x14ac:dyDescent="0.25">
      <c r="A32" s="340" t="s">
        <v>9</v>
      </c>
      <c r="B32" s="341" t="s">
        <v>1009</v>
      </c>
      <c r="C32" s="536" t="s">
        <v>985</v>
      </c>
      <c r="D32" s="536" t="s">
        <v>1001</v>
      </c>
      <c r="E32" s="333">
        <v>0</v>
      </c>
      <c r="F32" s="334">
        <v>250</v>
      </c>
      <c r="G32" s="334">
        <v>250</v>
      </c>
      <c r="H32" s="333" t="s">
        <v>98</v>
      </c>
      <c r="I32" s="335">
        <v>250</v>
      </c>
      <c r="J32" s="335">
        <v>250</v>
      </c>
      <c r="K32" s="335">
        <v>250</v>
      </c>
      <c r="L32" s="335">
        <v>250</v>
      </c>
    </row>
    <row r="33" spans="1:12" ht="67.5" x14ac:dyDescent="0.25">
      <c r="A33" s="340" t="s">
        <v>23</v>
      </c>
      <c r="B33" s="341" t="s">
        <v>1010</v>
      </c>
      <c r="C33" s="536" t="s">
        <v>990</v>
      </c>
      <c r="D33" s="536" t="s">
        <v>991</v>
      </c>
      <c r="E33" s="337" t="s">
        <v>1011</v>
      </c>
      <c r="F33" s="337">
        <v>527</v>
      </c>
      <c r="G33" s="337">
        <v>508</v>
      </c>
      <c r="H33" s="337">
        <v>508</v>
      </c>
      <c r="I33" s="337">
        <v>508</v>
      </c>
      <c r="J33" s="337">
        <v>508</v>
      </c>
      <c r="K33" s="337">
        <v>508</v>
      </c>
      <c r="L33" s="337">
        <v>508</v>
      </c>
    </row>
    <row r="34" spans="1:12" ht="56.25" x14ac:dyDescent="0.25">
      <c r="A34" s="340" t="s">
        <v>25</v>
      </c>
      <c r="B34" s="341" t="s">
        <v>1012</v>
      </c>
      <c r="C34" s="536" t="s">
        <v>990</v>
      </c>
      <c r="D34" s="536" t="s">
        <v>92</v>
      </c>
      <c r="E34" s="334" t="s">
        <v>1011</v>
      </c>
      <c r="F34" s="334">
        <v>95.5</v>
      </c>
      <c r="G34" s="334">
        <v>95.5</v>
      </c>
      <c r="H34" s="334">
        <v>95.57</v>
      </c>
      <c r="I34" s="334">
        <v>95.57</v>
      </c>
      <c r="J34" s="334">
        <v>95.57</v>
      </c>
      <c r="K34" s="334">
        <v>95.57</v>
      </c>
      <c r="L34" s="334">
        <v>95.57</v>
      </c>
    </row>
    <row r="35" spans="1:12" ht="56.25" x14ac:dyDescent="0.25">
      <c r="A35" s="340" t="s">
        <v>27</v>
      </c>
      <c r="B35" s="332" t="s">
        <v>1013</v>
      </c>
      <c r="C35" s="536" t="s">
        <v>990</v>
      </c>
      <c r="D35" s="536" t="s">
        <v>1014</v>
      </c>
      <c r="E35" s="336">
        <v>0</v>
      </c>
      <c r="F35" s="337">
        <v>1000000</v>
      </c>
      <c r="G35" s="337">
        <v>1000000</v>
      </c>
      <c r="H35" s="333" t="s">
        <v>98</v>
      </c>
      <c r="I35" s="339">
        <v>1000000</v>
      </c>
      <c r="J35" s="339">
        <v>1000000</v>
      </c>
      <c r="K35" s="339">
        <v>1000000</v>
      </c>
      <c r="L35" s="339">
        <v>1000000</v>
      </c>
    </row>
    <row r="36" spans="1:12" ht="33.75" x14ac:dyDescent="0.25">
      <c r="A36" s="340" t="s">
        <v>31</v>
      </c>
      <c r="B36" s="341" t="s">
        <v>1015</v>
      </c>
      <c r="C36" s="536" t="s">
        <v>990</v>
      </c>
      <c r="D36" s="536" t="s">
        <v>988</v>
      </c>
      <c r="E36" s="333">
        <v>0</v>
      </c>
      <c r="F36" s="337">
        <v>1000</v>
      </c>
      <c r="G36" s="337">
        <v>1000</v>
      </c>
      <c r="H36" s="337">
        <v>1000</v>
      </c>
      <c r="I36" s="339">
        <v>1000</v>
      </c>
      <c r="J36" s="339">
        <v>1000</v>
      </c>
      <c r="K36" s="339">
        <v>1000</v>
      </c>
      <c r="L36" s="339">
        <v>1000</v>
      </c>
    </row>
    <row r="37" spans="1:12" ht="56.25" x14ac:dyDescent="0.25">
      <c r="A37" s="340" t="s">
        <v>33</v>
      </c>
      <c r="B37" s="341" t="s">
        <v>1016</v>
      </c>
      <c r="C37" s="536" t="s">
        <v>990</v>
      </c>
      <c r="D37" s="536" t="s">
        <v>988</v>
      </c>
      <c r="E37" s="333">
        <v>0</v>
      </c>
      <c r="F37" s="337">
        <v>0</v>
      </c>
      <c r="G37" s="337">
        <v>0</v>
      </c>
      <c r="H37" s="333">
        <v>0</v>
      </c>
      <c r="I37" s="338">
        <v>0</v>
      </c>
      <c r="J37" s="338">
        <v>0</v>
      </c>
      <c r="K37" s="338">
        <v>0</v>
      </c>
      <c r="L37" s="338">
        <v>0</v>
      </c>
    </row>
    <row r="38" spans="1:12" ht="45" x14ac:dyDescent="0.25">
      <c r="A38" s="340" t="s">
        <v>34</v>
      </c>
      <c r="B38" s="341" t="s">
        <v>1017</v>
      </c>
      <c r="C38" s="536" t="s">
        <v>990</v>
      </c>
      <c r="D38" s="536" t="s">
        <v>92</v>
      </c>
      <c r="E38" s="334">
        <v>85</v>
      </c>
      <c r="F38" s="334">
        <v>95</v>
      </c>
      <c r="G38" s="334">
        <v>95</v>
      </c>
      <c r="H38" s="334">
        <v>95</v>
      </c>
      <c r="I38" s="334">
        <v>95</v>
      </c>
      <c r="J38" s="334">
        <v>95</v>
      </c>
      <c r="K38" s="334">
        <v>95</v>
      </c>
      <c r="L38" s="334">
        <v>95</v>
      </c>
    </row>
  </sheetData>
  <mergeCells count="17">
    <mergeCell ref="A25:L25"/>
    <mergeCell ref="H11:H12"/>
    <mergeCell ref="I11:I12"/>
    <mergeCell ref="J11:J12"/>
    <mergeCell ref="K11:K12"/>
    <mergeCell ref="L11:L12"/>
    <mergeCell ref="A13:L13"/>
    <mergeCell ref="A1:L1"/>
    <mergeCell ref="A4:J4"/>
    <mergeCell ref="A9:A11"/>
    <mergeCell ref="B9:B11"/>
    <mergeCell ref="C9:C11"/>
    <mergeCell ref="D9:D11"/>
    <mergeCell ref="E9:E11"/>
    <mergeCell ref="F9:L9"/>
    <mergeCell ref="F10:G11"/>
    <mergeCell ref="H10:L10"/>
  </mergeCells>
  <printOptions horizontalCentered="1"/>
  <pageMargins left="0.70866141732283472" right="0.70866141732283472" top="0.62992125984251968" bottom="0.62992125984251968" header="0.31496062992125984" footer="0.31496062992125984"/>
  <pageSetup paperSize="9" scale="69" orientation="landscape" r:id="rId1"/>
  <headerFooter>
    <oddHeader>&amp;CDunaharaszti Város Önkormányzat 2016.évi zárszámadás&amp;R&amp;A</oddHeader>
    <oddFooter>&amp;C&amp;P/&amp;N</oddFooter>
  </headerFooter>
  <rowBreaks count="1" manualBreakCount="1">
    <brk id="24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Q36" sqref="Q36"/>
    </sheetView>
  </sheetViews>
  <sheetFormatPr defaultRowHeight="15" x14ac:dyDescent="0.25"/>
  <cols>
    <col min="1" max="1" width="94.140625" bestFit="1" customWidth="1"/>
    <col min="2" max="3" width="10.140625" bestFit="1" customWidth="1"/>
  </cols>
  <sheetData>
    <row r="1" spans="1:11" ht="17.25" x14ac:dyDescent="0.3">
      <c r="A1" s="922" t="s">
        <v>616</v>
      </c>
      <c r="B1" s="922"/>
      <c r="C1" s="922"/>
      <c r="D1" s="922"/>
      <c r="E1" s="922"/>
      <c r="F1" s="922"/>
      <c r="G1" s="922"/>
      <c r="H1" s="179"/>
      <c r="I1" s="179"/>
      <c r="J1" s="179"/>
      <c r="K1" s="180"/>
    </row>
    <row r="2" spans="1:11" ht="16.5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0"/>
    </row>
    <row r="3" spans="1:11" x14ac:dyDescent="0.25">
      <c r="H3" s="182"/>
      <c r="I3" s="182"/>
    </row>
    <row r="4" spans="1:11" x14ac:dyDescent="0.25">
      <c r="H4" s="182"/>
      <c r="I4" s="182"/>
    </row>
    <row r="5" spans="1:11" ht="15.75" x14ac:dyDescent="0.25">
      <c r="A5" s="183" t="s">
        <v>1424</v>
      </c>
      <c r="B5" s="184"/>
      <c r="C5" s="184"/>
      <c r="D5" s="184"/>
      <c r="E5" s="184"/>
      <c r="F5" s="182"/>
      <c r="G5" s="182"/>
      <c r="H5" s="182"/>
      <c r="I5" s="182"/>
    </row>
    <row r="6" spans="1:11" ht="15.75" x14ac:dyDescent="0.25">
      <c r="A6" s="185" t="s">
        <v>1425</v>
      </c>
      <c r="B6" s="185"/>
      <c r="C6" s="185"/>
      <c r="D6" s="185"/>
      <c r="E6" s="185"/>
      <c r="F6" s="182"/>
      <c r="G6" s="182"/>
      <c r="H6" s="182"/>
      <c r="I6" s="182"/>
    </row>
    <row r="7" spans="1:11" x14ac:dyDescent="0.25">
      <c r="A7" s="186" t="s">
        <v>617</v>
      </c>
      <c r="B7" s="182"/>
      <c r="C7" s="182"/>
      <c r="D7" s="182"/>
      <c r="E7" s="182"/>
      <c r="F7" s="182"/>
      <c r="G7" s="182"/>
      <c r="H7" s="182"/>
      <c r="I7" s="182"/>
    </row>
    <row r="10" spans="1:11" ht="15.75" x14ac:dyDescent="0.25">
      <c r="A10" s="187" t="s">
        <v>619</v>
      </c>
      <c r="B10" s="187"/>
      <c r="C10" s="188"/>
      <c r="D10" s="188"/>
      <c r="E10" s="188"/>
      <c r="F10" s="188"/>
    </row>
    <row r="12" spans="1:11" x14ac:dyDescent="0.25">
      <c r="A12" s="189"/>
      <c r="B12" s="539" t="s">
        <v>591</v>
      </c>
      <c r="C12" s="539" t="s">
        <v>592</v>
      </c>
      <c r="D12" s="539" t="s">
        <v>593</v>
      </c>
      <c r="E12" s="539" t="s">
        <v>594</v>
      </c>
      <c r="F12" s="539" t="s">
        <v>595</v>
      </c>
      <c r="G12" s="540" t="s">
        <v>106</v>
      </c>
    </row>
    <row r="13" spans="1:11" ht="45" x14ac:dyDescent="0.25">
      <c r="A13" s="190" t="s">
        <v>1426</v>
      </c>
      <c r="B13" s="189">
        <v>138.6</v>
      </c>
      <c r="C13" s="189">
        <v>138.6</v>
      </c>
      <c r="D13" s="189">
        <v>138.6</v>
      </c>
      <c r="E13" s="189">
        <v>138.6</v>
      </c>
      <c r="F13" s="189">
        <v>138.6</v>
      </c>
      <c r="G13" s="189">
        <f>SUM(B13:F13)</f>
        <v>693</v>
      </c>
    </row>
    <row r="14" spans="1:11" x14ac:dyDescent="0.25">
      <c r="A14" s="190" t="s">
        <v>620</v>
      </c>
      <c r="B14" s="189">
        <v>3.85E-2</v>
      </c>
      <c r="C14" s="189">
        <v>3.85E-2</v>
      </c>
      <c r="D14" s="189">
        <v>3.85E-2</v>
      </c>
      <c r="E14" s="189">
        <v>3.85E-2</v>
      </c>
      <c r="F14" s="189">
        <v>3.85E-2</v>
      </c>
      <c r="G14" s="189">
        <f>SUM(B14:F14)</f>
        <v>0.1925</v>
      </c>
    </row>
    <row r="15" spans="1:11" x14ac:dyDescent="0.25">
      <c r="A15" s="190" t="s">
        <v>621</v>
      </c>
      <c r="B15" s="189">
        <v>35.989800000000002</v>
      </c>
      <c r="C15" s="189">
        <v>35.989800000000002</v>
      </c>
      <c r="D15" s="189">
        <v>35.989800000000002</v>
      </c>
      <c r="E15" s="189">
        <v>35.989800000000002</v>
      </c>
      <c r="F15" s="189">
        <v>35.989800000000002</v>
      </c>
      <c r="G15" s="189">
        <f>SUM(B15:F15)</f>
        <v>179.94900000000001</v>
      </c>
    </row>
    <row r="17" spans="1:6" ht="15.75" x14ac:dyDescent="0.25">
      <c r="A17" s="187" t="s">
        <v>622</v>
      </c>
    </row>
    <row r="18" spans="1:6" x14ac:dyDescent="0.25">
      <c r="A18" s="191" t="s">
        <v>623</v>
      </c>
      <c r="B18" s="192" t="s">
        <v>624</v>
      </c>
      <c r="C18" s="192" t="s">
        <v>624</v>
      </c>
      <c r="D18" s="192" t="s">
        <v>624</v>
      </c>
      <c r="E18" s="192" t="s">
        <v>624</v>
      </c>
      <c r="F18" s="192" t="s">
        <v>624</v>
      </c>
    </row>
    <row r="19" spans="1:6" x14ac:dyDescent="0.25">
      <c r="A19" s="189" t="s">
        <v>1427</v>
      </c>
      <c r="B19" s="189">
        <v>2</v>
      </c>
      <c r="C19" s="189">
        <v>2</v>
      </c>
      <c r="D19" s="189">
        <v>2</v>
      </c>
      <c r="E19" s="189">
        <v>2</v>
      </c>
      <c r="F19" s="189">
        <v>2</v>
      </c>
    </row>
    <row r="20" spans="1:6" x14ac:dyDescent="0.25">
      <c r="A20" s="189"/>
      <c r="B20" s="189"/>
      <c r="C20" s="189"/>
      <c r="D20" s="189"/>
      <c r="E20" s="189"/>
      <c r="F20" s="189"/>
    </row>
    <row r="21" spans="1:6" x14ac:dyDescent="0.25">
      <c r="A21" s="191" t="s">
        <v>625</v>
      </c>
      <c r="B21" s="192" t="s">
        <v>624</v>
      </c>
      <c r="C21" s="192" t="s">
        <v>624</v>
      </c>
      <c r="D21" s="192" t="s">
        <v>624</v>
      </c>
      <c r="E21" s="192" t="s">
        <v>624</v>
      </c>
      <c r="F21" s="192" t="s">
        <v>624</v>
      </c>
    </row>
    <row r="22" spans="1:6" x14ac:dyDescent="0.25">
      <c r="A22" s="191" t="s">
        <v>626</v>
      </c>
      <c r="B22" s="192" t="s">
        <v>624</v>
      </c>
      <c r="C22" s="192" t="s">
        <v>624</v>
      </c>
      <c r="D22" s="192" t="s">
        <v>624</v>
      </c>
      <c r="E22" s="192" t="s">
        <v>624</v>
      </c>
      <c r="F22" s="192" t="s">
        <v>624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&amp;CDunaharaszti Város Önkormányzat 2016.évi zárszámadás&amp;R&amp;A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1" zoomScaleNormal="100" zoomScaleSheetLayoutView="91" workbookViewId="0">
      <selection activeCell="A19" sqref="A19"/>
    </sheetView>
  </sheetViews>
  <sheetFormatPr defaultRowHeight="15" x14ac:dyDescent="0.25"/>
  <cols>
    <col min="1" max="1" width="92.42578125" customWidth="1"/>
  </cols>
  <sheetData>
    <row r="1" spans="1:11" ht="17.25" x14ac:dyDescent="0.3">
      <c r="A1" s="922" t="s">
        <v>616</v>
      </c>
      <c r="B1" s="922"/>
      <c r="C1" s="922"/>
      <c r="D1" s="922"/>
      <c r="E1" s="922"/>
      <c r="F1" s="922"/>
      <c r="G1" s="922"/>
      <c r="H1" s="179"/>
      <c r="I1" s="179"/>
      <c r="J1" s="179"/>
      <c r="K1" s="180"/>
    </row>
    <row r="2" spans="1:11" ht="1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0"/>
    </row>
    <row r="3" spans="1:11" x14ac:dyDescent="0.25">
      <c r="H3" s="182"/>
      <c r="I3" s="182"/>
    </row>
    <row r="4" spans="1:11" x14ac:dyDescent="0.25">
      <c r="H4" s="182"/>
      <c r="I4" s="182"/>
    </row>
    <row r="5" spans="1:11" ht="15.75" x14ac:dyDescent="0.25">
      <c r="A5" s="183" t="s">
        <v>1428</v>
      </c>
      <c r="B5" s="184"/>
      <c r="C5" s="184"/>
      <c r="D5" s="184"/>
      <c r="E5" s="184"/>
      <c r="F5" s="182"/>
      <c r="G5" s="182"/>
      <c r="H5" s="182"/>
      <c r="I5" s="182"/>
    </row>
    <row r="6" spans="1:11" ht="15.75" x14ac:dyDescent="0.25">
      <c r="A6" s="185" t="s">
        <v>1429</v>
      </c>
      <c r="B6" s="185"/>
      <c r="C6" s="185"/>
      <c r="D6" s="185"/>
      <c r="E6" s="185"/>
      <c r="F6" s="182"/>
      <c r="G6" s="182"/>
      <c r="H6" s="182"/>
      <c r="I6" s="182"/>
    </row>
    <row r="7" spans="1:11" x14ac:dyDescent="0.25">
      <c r="A7" s="186" t="s">
        <v>617</v>
      </c>
      <c r="B7" s="182"/>
      <c r="C7" s="182"/>
      <c r="D7" s="182"/>
      <c r="E7" s="182"/>
      <c r="F7" s="182"/>
      <c r="G7" s="182"/>
      <c r="H7" s="182"/>
      <c r="I7" s="182"/>
    </row>
    <row r="9" spans="1:11" ht="15.75" x14ac:dyDescent="0.25">
      <c r="A9" s="187" t="s">
        <v>619</v>
      </c>
      <c r="B9" s="187"/>
      <c r="C9" s="188"/>
      <c r="D9" s="188"/>
      <c r="E9" s="188"/>
      <c r="F9" s="188"/>
    </row>
    <row r="11" spans="1:11" x14ac:dyDescent="0.25">
      <c r="A11" s="189"/>
      <c r="B11" s="539" t="s">
        <v>591</v>
      </c>
      <c r="C11" s="539" t="s">
        <v>592</v>
      </c>
      <c r="D11" s="539" t="s">
        <v>593</v>
      </c>
      <c r="E11" s="539" t="s">
        <v>594</v>
      </c>
      <c r="F11" s="539" t="s">
        <v>595</v>
      </c>
      <c r="G11" s="540" t="s">
        <v>106</v>
      </c>
    </row>
    <row r="12" spans="1:11" ht="45" x14ac:dyDescent="0.25">
      <c r="A12" s="190" t="s">
        <v>1426</v>
      </c>
      <c r="B12" s="189">
        <v>203.76</v>
      </c>
      <c r="C12" s="541">
        <f>B12</f>
        <v>203.76</v>
      </c>
      <c r="D12" s="541">
        <f t="shared" ref="D12:F13" si="0">C12</f>
        <v>203.76</v>
      </c>
      <c r="E12" s="541">
        <f t="shared" si="0"/>
        <v>203.76</v>
      </c>
      <c r="F12" s="541">
        <f t="shared" si="0"/>
        <v>203.76</v>
      </c>
      <c r="G12" s="542">
        <f>SUM(B12:F12)</f>
        <v>1018.8</v>
      </c>
    </row>
    <row r="13" spans="1:11" x14ac:dyDescent="0.25">
      <c r="A13" s="190" t="s">
        <v>620</v>
      </c>
      <c r="B13" s="541">
        <v>5.6599999999999998E-2</v>
      </c>
      <c r="C13" s="541">
        <f>B13</f>
        <v>5.6599999999999998E-2</v>
      </c>
      <c r="D13" s="541">
        <f t="shared" si="0"/>
        <v>5.6599999999999998E-2</v>
      </c>
      <c r="E13" s="541">
        <f t="shared" si="0"/>
        <v>5.6599999999999998E-2</v>
      </c>
      <c r="F13" s="541">
        <f t="shared" si="0"/>
        <v>5.6599999999999998E-2</v>
      </c>
      <c r="G13" s="189">
        <f>SUM(B13:F13)</f>
        <v>0.28299999999999997</v>
      </c>
    </row>
    <row r="14" spans="1:11" x14ac:dyDescent="0.25">
      <c r="A14" s="190" t="s">
        <v>621</v>
      </c>
      <c r="B14" s="189">
        <v>52.91</v>
      </c>
      <c r="C14" s="189">
        <v>52.91</v>
      </c>
      <c r="D14" s="189">
        <v>52.91</v>
      </c>
      <c r="E14" s="189">
        <v>52.91</v>
      </c>
      <c r="F14" s="189">
        <v>52.91</v>
      </c>
      <c r="G14" s="189">
        <f>SUM(B14:F14)</f>
        <v>264.54999999999995</v>
      </c>
    </row>
    <row r="16" spans="1:11" ht="15.75" x14ac:dyDescent="0.25">
      <c r="A16" s="187" t="s">
        <v>622</v>
      </c>
    </row>
    <row r="17" spans="1:6" ht="30" x14ac:dyDescent="0.25">
      <c r="A17" s="191" t="s">
        <v>623</v>
      </c>
      <c r="B17" s="192" t="s">
        <v>624</v>
      </c>
      <c r="C17" s="192" t="s">
        <v>624</v>
      </c>
      <c r="D17" s="192" t="s">
        <v>624</v>
      </c>
      <c r="E17" s="192" t="s">
        <v>624</v>
      </c>
      <c r="F17" s="192" t="s">
        <v>624</v>
      </c>
    </row>
    <row r="18" spans="1:6" x14ac:dyDescent="0.25">
      <c r="A18" s="189" t="s">
        <v>1427</v>
      </c>
      <c r="B18" s="189">
        <v>2</v>
      </c>
      <c r="C18" s="189">
        <v>2</v>
      </c>
      <c r="D18" s="189">
        <v>2</v>
      </c>
      <c r="E18" s="189">
        <v>2</v>
      </c>
      <c r="F18" s="189">
        <v>2</v>
      </c>
    </row>
    <row r="19" spans="1:6" x14ac:dyDescent="0.25">
      <c r="A19" s="189"/>
      <c r="B19" s="189"/>
      <c r="C19" s="189"/>
      <c r="D19" s="189"/>
      <c r="E19" s="189"/>
      <c r="F19" s="189"/>
    </row>
    <row r="20" spans="1:6" x14ac:dyDescent="0.25">
      <c r="A20" s="191" t="s">
        <v>625</v>
      </c>
      <c r="B20" s="192" t="s">
        <v>624</v>
      </c>
      <c r="C20" s="192" t="s">
        <v>624</v>
      </c>
      <c r="D20" s="192" t="s">
        <v>624</v>
      </c>
      <c r="E20" s="192" t="s">
        <v>624</v>
      </c>
      <c r="F20" s="192" t="s">
        <v>624</v>
      </c>
    </row>
    <row r="21" spans="1:6" x14ac:dyDescent="0.25">
      <c r="A21" s="191" t="s">
        <v>626</v>
      </c>
      <c r="B21" s="192" t="s">
        <v>624</v>
      </c>
      <c r="C21" s="192" t="s">
        <v>624</v>
      </c>
      <c r="D21" s="192" t="s">
        <v>624</v>
      </c>
      <c r="E21" s="192" t="s">
        <v>624</v>
      </c>
      <c r="F21" s="192" t="s">
        <v>624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&amp;CDunaharaszti Város Önkormányzat 2016.évi zárszámadás&amp;R&amp;A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84" zoomScaleNormal="100" zoomScaleSheetLayoutView="84" workbookViewId="0">
      <selection activeCell="A14" sqref="A14"/>
    </sheetView>
  </sheetViews>
  <sheetFormatPr defaultRowHeight="15" x14ac:dyDescent="0.25"/>
  <cols>
    <col min="1" max="1" width="49.140625" customWidth="1"/>
    <col min="2" max="2" width="12.7109375" customWidth="1"/>
    <col min="8" max="8" width="11.140625" customWidth="1"/>
    <col min="10" max="10" width="11.28515625" customWidth="1"/>
  </cols>
  <sheetData>
    <row r="1" spans="1:11" ht="17.25" x14ac:dyDescent="0.3">
      <c r="A1" s="922" t="s">
        <v>616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</row>
    <row r="2" spans="1:11" x14ac:dyDescent="0.25">
      <c r="A2" s="200"/>
      <c r="B2" s="200"/>
      <c r="C2" s="200"/>
      <c r="D2" s="200"/>
      <c r="E2" s="200"/>
      <c r="F2" s="343"/>
      <c r="G2" s="343"/>
      <c r="H2" s="343"/>
      <c r="I2" s="343"/>
      <c r="J2" s="343"/>
    </row>
    <row r="3" spans="1:11" ht="18.75" x14ac:dyDescent="0.25">
      <c r="A3" s="924"/>
      <c r="B3" s="924"/>
      <c r="C3" s="924"/>
      <c r="D3" s="924"/>
      <c r="E3" s="924"/>
      <c r="F3" s="924"/>
      <c r="G3" s="924"/>
      <c r="H3" s="343"/>
      <c r="I3" s="343"/>
      <c r="J3" s="343"/>
    </row>
    <row r="4" spans="1:1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</row>
    <row r="5" spans="1:11" ht="31.5" customHeight="1" x14ac:dyDescent="0.25">
      <c r="A5" s="937" t="s">
        <v>1430</v>
      </c>
      <c r="B5" s="937"/>
      <c r="C5" s="937"/>
      <c r="D5" s="937"/>
      <c r="E5" s="937"/>
      <c r="F5" s="937"/>
      <c r="G5" s="937"/>
      <c r="H5" s="937"/>
      <c r="I5" s="937"/>
      <c r="J5" s="937"/>
      <c r="K5" s="937"/>
    </row>
    <row r="6" spans="1:11" ht="15.75" x14ac:dyDescent="0.25">
      <c r="A6" s="346" t="s">
        <v>1431</v>
      </c>
      <c r="B6" s="346"/>
      <c r="C6" s="346"/>
      <c r="D6" s="346"/>
      <c r="E6" s="346"/>
      <c r="F6" s="343"/>
      <c r="G6" s="343"/>
      <c r="H6" s="343"/>
      <c r="I6" s="343"/>
      <c r="J6" s="343"/>
    </row>
    <row r="7" spans="1:11" ht="15.75" x14ac:dyDescent="0.25">
      <c r="A7" s="346" t="s">
        <v>1023</v>
      </c>
      <c r="B7" s="346"/>
      <c r="C7" s="346"/>
      <c r="D7" s="346"/>
      <c r="E7" s="346"/>
      <c r="F7" s="343"/>
      <c r="G7" s="343"/>
      <c r="H7" s="343"/>
      <c r="I7" s="343"/>
      <c r="J7" s="343"/>
    </row>
    <row r="8" spans="1:11" ht="15.75" x14ac:dyDescent="0.25">
      <c r="A8" s="347" t="s">
        <v>619</v>
      </c>
      <c r="B8" s="347"/>
      <c r="C8" s="347"/>
      <c r="D8" s="347"/>
      <c r="E8" s="347"/>
      <c r="F8" s="343"/>
      <c r="G8" s="343"/>
      <c r="H8" s="343"/>
      <c r="I8" s="343"/>
      <c r="J8" s="343"/>
    </row>
    <row r="9" spans="1:11" ht="25.5" customHeight="1" x14ac:dyDescent="0.25">
      <c r="A9" s="938" t="s">
        <v>679</v>
      </c>
      <c r="B9" s="938"/>
      <c r="C9" s="938"/>
      <c r="D9" s="938"/>
      <c r="E9" s="938"/>
      <c r="F9" s="938"/>
      <c r="G9" s="938"/>
      <c r="H9" s="938"/>
      <c r="I9" s="938"/>
      <c r="J9" s="938"/>
      <c r="K9" s="938"/>
    </row>
    <row r="10" spans="1:11" s="544" customFormat="1" ht="15.75" x14ac:dyDescent="0.25">
      <c r="A10" s="939" t="s">
        <v>1432</v>
      </c>
      <c r="B10" s="543" t="s">
        <v>1433</v>
      </c>
      <c r="C10" s="939" t="s">
        <v>978</v>
      </c>
      <c r="D10" s="939" t="s">
        <v>1434</v>
      </c>
      <c r="E10" s="939"/>
      <c r="F10" s="939"/>
      <c r="G10" s="939" t="s">
        <v>1435</v>
      </c>
      <c r="H10" s="939"/>
      <c r="I10" s="939"/>
      <c r="J10" s="939"/>
      <c r="K10" s="939"/>
    </row>
    <row r="11" spans="1:11" s="544" customFormat="1" ht="32.25" customHeight="1" x14ac:dyDescent="0.25">
      <c r="A11" s="939"/>
      <c r="B11" s="543" t="s">
        <v>1436</v>
      </c>
      <c r="C11" s="939"/>
      <c r="D11" s="939" t="s">
        <v>1437</v>
      </c>
      <c r="E11" s="939"/>
      <c r="F11" s="939"/>
      <c r="G11" s="939"/>
      <c r="H11" s="939"/>
      <c r="I11" s="939"/>
      <c r="J11" s="939"/>
      <c r="K11" s="939"/>
    </row>
    <row r="12" spans="1:11" s="544" customFormat="1" ht="15.75" x14ac:dyDescent="0.25">
      <c r="A12" s="939"/>
      <c r="B12" s="543" t="s">
        <v>1438</v>
      </c>
      <c r="C12" s="545">
        <v>2012</v>
      </c>
      <c r="D12" s="545">
        <v>2013</v>
      </c>
      <c r="E12" s="545">
        <v>2014</v>
      </c>
      <c r="F12" s="545" t="s">
        <v>98</v>
      </c>
      <c r="G12" s="545">
        <v>2015</v>
      </c>
      <c r="H12" s="545">
        <v>2016</v>
      </c>
      <c r="I12" s="545">
        <v>2017</v>
      </c>
      <c r="J12" s="545">
        <v>2018</v>
      </c>
      <c r="K12" s="545">
        <v>2019</v>
      </c>
    </row>
    <row r="13" spans="1:11" s="544" customFormat="1" ht="15.75" x14ac:dyDescent="0.25">
      <c r="A13" s="936" t="s">
        <v>1439</v>
      </c>
      <c r="B13" s="936"/>
      <c r="C13" s="936"/>
      <c r="D13" s="936"/>
      <c r="E13" s="936"/>
      <c r="F13" s="936"/>
      <c r="G13" s="936"/>
      <c r="H13" s="936"/>
      <c r="I13" s="936"/>
      <c r="J13" s="936"/>
      <c r="K13" s="936"/>
    </row>
    <row r="14" spans="1:11" s="544" customFormat="1" ht="31.5" x14ac:dyDescent="0.25">
      <c r="A14" s="546" t="s">
        <v>1440</v>
      </c>
      <c r="B14" s="547" t="s">
        <v>991</v>
      </c>
      <c r="C14" s="548">
        <v>0</v>
      </c>
      <c r="D14" s="548">
        <v>0</v>
      </c>
      <c r="E14" s="548">
        <v>1</v>
      </c>
      <c r="F14" s="548" t="s">
        <v>98</v>
      </c>
      <c r="G14" s="549"/>
      <c r="H14" s="549"/>
      <c r="I14" s="549"/>
      <c r="J14" s="549"/>
      <c r="K14" s="549"/>
    </row>
    <row r="15" spans="1:11" s="544" customFormat="1" ht="47.25" x14ac:dyDescent="0.25">
      <c r="A15" s="546" t="s">
        <v>1441</v>
      </c>
      <c r="B15" s="547" t="s">
        <v>991</v>
      </c>
      <c r="C15" s="548">
        <v>0</v>
      </c>
      <c r="D15" s="548">
        <v>0</v>
      </c>
      <c r="E15" s="548">
        <v>6</v>
      </c>
      <c r="F15" s="548" t="s">
        <v>98</v>
      </c>
      <c r="G15" s="548">
        <v>6</v>
      </c>
      <c r="H15" s="548">
        <v>6</v>
      </c>
      <c r="I15" s="548">
        <v>6</v>
      </c>
      <c r="J15" s="548">
        <v>6</v>
      </c>
      <c r="K15" s="548">
        <v>6</v>
      </c>
    </row>
    <row r="16" spans="1:11" s="544" customFormat="1" ht="47.25" x14ac:dyDescent="0.25">
      <c r="A16" s="546" t="s">
        <v>1442</v>
      </c>
      <c r="B16" s="547" t="s">
        <v>991</v>
      </c>
      <c r="C16" s="548">
        <v>0</v>
      </c>
      <c r="D16" s="548">
        <v>0</v>
      </c>
      <c r="E16" s="548">
        <v>120</v>
      </c>
      <c r="F16" s="548" t="s">
        <v>98</v>
      </c>
      <c r="G16" s="548">
        <v>120</v>
      </c>
      <c r="H16" s="548">
        <v>120</v>
      </c>
      <c r="I16" s="548">
        <v>120</v>
      </c>
      <c r="J16" s="548">
        <v>120</v>
      </c>
      <c r="K16" s="548">
        <v>120</v>
      </c>
    </row>
    <row r="17" spans="1:11" s="544" customFormat="1" ht="31.5" x14ac:dyDescent="0.25">
      <c r="A17" s="546" t="s">
        <v>1443</v>
      </c>
      <c r="B17" s="547" t="s">
        <v>991</v>
      </c>
      <c r="C17" s="548">
        <v>0</v>
      </c>
      <c r="D17" s="548">
        <v>0</v>
      </c>
      <c r="E17" s="548">
        <v>20</v>
      </c>
      <c r="F17" s="547" t="s">
        <v>98</v>
      </c>
      <c r="G17" s="545"/>
      <c r="H17" s="545"/>
      <c r="I17" s="545"/>
      <c r="J17" s="545"/>
      <c r="K17" s="545"/>
    </row>
    <row r="18" spans="1:11" s="544" customFormat="1" ht="15.75" x14ac:dyDescent="0.25">
      <c r="A18" s="546" t="s">
        <v>1444</v>
      </c>
      <c r="B18" s="547" t="s">
        <v>991</v>
      </c>
      <c r="C18" s="548">
        <v>0</v>
      </c>
      <c r="D18" s="548">
        <v>0</v>
      </c>
      <c r="E18" s="548">
        <v>1</v>
      </c>
      <c r="F18" s="548" t="s">
        <v>98</v>
      </c>
      <c r="G18" s="545"/>
      <c r="H18" s="545"/>
      <c r="I18" s="545"/>
      <c r="J18" s="545"/>
      <c r="K18" s="545"/>
    </row>
    <row r="19" spans="1:11" s="544" customFormat="1" ht="15.75" x14ac:dyDescent="0.25">
      <c r="A19" s="936" t="s">
        <v>1445</v>
      </c>
      <c r="B19" s="936"/>
      <c r="C19" s="936"/>
      <c r="D19" s="936"/>
      <c r="E19" s="936"/>
      <c r="F19" s="936"/>
      <c r="G19" s="936"/>
      <c r="H19" s="936"/>
      <c r="I19" s="936"/>
      <c r="J19" s="936"/>
      <c r="K19" s="936"/>
    </row>
    <row r="20" spans="1:11" s="544" customFormat="1" ht="31.5" x14ac:dyDescent="0.25">
      <c r="A20" s="546" t="s">
        <v>1446</v>
      </c>
      <c r="B20" s="547" t="s">
        <v>988</v>
      </c>
      <c r="C20" s="548">
        <v>0</v>
      </c>
      <c r="D20" s="550"/>
      <c r="E20" s="550"/>
      <c r="F20" s="550"/>
      <c r="G20" s="548">
        <v>120</v>
      </c>
      <c r="H20" s="548">
        <v>120</v>
      </c>
      <c r="I20" s="548">
        <v>120</v>
      </c>
      <c r="J20" s="548">
        <v>120</v>
      </c>
      <c r="K20" s="548">
        <v>120</v>
      </c>
    </row>
    <row r="21" spans="1:11" s="544" customFormat="1" ht="47.25" x14ac:dyDescent="0.25">
      <c r="A21" s="546" t="s">
        <v>1447</v>
      </c>
      <c r="B21" s="547" t="s">
        <v>988</v>
      </c>
      <c r="C21" s="548">
        <v>0</v>
      </c>
      <c r="D21" s="550"/>
      <c r="E21" s="550"/>
      <c r="F21" s="550"/>
      <c r="G21" s="548">
        <v>1</v>
      </c>
      <c r="H21" s="548">
        <v>1</v>
      </c>
      <c r="I21" s="548">
        <v>1</v>
      </c>
      <c r="J21" s="548">
        <v>1</v>
      </c>
      <c r="K21" s="548">
        <v>1</v>
      </c>
    </row>
    <row r="22" spans="1:11" s="544" customFormat="1" ht="47.25" x14ac:dyDescent="0.25">
      <c r="A22" s="546" t="s">
        <v>1448</v>
      </c>
      <c r="B22" s="547" t="s">
        <v>988</v>
      </c>
      <c r="C22" s="548">
        <v>0</v>
      </c>
      <c r="D22" s="550"/>
      <c r="E22" s="550"/>
      <c r="F22" s="550"/>
      <c r="G22" s="548">
        <v>0</v>
      </c>
      <c r="H22" s="548">
        <v>0</v>
      </c>
      <c r="I22" s="548">
        <v>0</v>
      </c>
      <c r="J22" s="548">
        <v>0</v>
      </c>
      <c r="K22" s="548">
        <v>0</v>
      </c>
    </row>
    <row r="23" spans="1:11" s="544" customFormat="1" ht="47.25" x14ac:dyDescent="0.25">
      <c r="A23" s="546" t="s">
        <v>1449</v>
      </c>
      <c r="B23" s="547" t="s">
        <v>988</v>
      </c>
      <c r="C23" s="547">
        <v>0</v>
      </c>
      <c r="D23" s="551"/>
      <c r="E23" s="551"/>
      <c r="F23" s="551"/>
      <c r="G23" s="547">
        <v>0</v>
      </c>
      <c r="H23" s="547">
        <v>0</v>
      </c>
      <c r="I23" s="547">
        <v>0</v>
      </c>
      <c r="J23" s="547">
        <v>0</v>
      </c>
      <c r="K23" s="547">
        <v>0</v>
      </c>
    </row>
    <row r="24" spans="1:11" s="552" customFormat="1" x14ac:dyDescent="0.25"/>
  </sheetData>
  <mergeCells count="11">
    <mergeCell ref="A13:K13"/>
    <mergeCell ref="A19:K19"/>
    <mergeCell ref="A1:K1"/>
    <mergeCell ref="A3:G3"/>
    <mergeCell ref="A5:K5"/>
    <mergeCell ref="A9:K9"/>
    <mergeCell ref="A10:A12"/>
    <mergeCell ref="C10:C11"/>
    <mergeCell ref="D10:F10"/>
    <mergeCell ref="G10:K11"/>
    <mergeCell ref="D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&amp;CDunaharaszti Város Önkormányzat 2016.évi zárszámadás&amp;R&amp;A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K41"/>
  <sheetViews>
    <sheetView view="pageLayout" topLeftCell="A19" zoomScale="69" zoomScaleNormal="100" zoomScalePageLayoutView="69" workbookViewId="0">
      <selection activeCell="E37" sqref="E37"/>
    </sheetView>
  </sheetViews>
  <sheetFormatPr defaultColWidth="9.140625" defaultRowHeight="15" x14ac:dyDescent="0.25"/>
  <cols>
    <col min="1" max="2" width="9.140625" style="1"/>
    <col min="3" max="3" width="78.42578125" style="1" customWidth="1"/>
    <col min="4" max="11" width="31.7109375" style="1" customWidth="1"/>
    <col min="12" max="16384" width="9.140625" style="1"/>
  </cols>
  <sheetData>
    <row r="2" spans="1:11" ht="36" customHeight="1" x14ac:dyDescent="0.35">
      <c r="A2" s="764" t="s">
        <v>42</v>
      </c>
      <c r="B2" s="764"/>
      <c r="C2" s="764"/>
      <c r="D2" s="764"/>
      <c r="E2" s="764"/>
      <c r="F2" s="764"/>
    </row>
    <row r="5" spans="1:11" ht="40.5" customHeight="1" x14ac:dyDescent="0.35">
      <c r="A5" s="765" t="s">
        <v>1</v>
      </c>
      <c r="B5" s="755" t="s">
        <v>2</v>
      </c>
      <c r="C5" s="755"/>
      <c r="D5" s="755" t="s">
        <v>43</v>
      </c>
      <c r="E5" s="766" t="s">
        <v>44</v>
      </c>
      <c r="F5" s="768" t="s">
        <v>45</v>
      </c>
      <c r="G5" s="15"/>
      <c r="H5" s="15"/>
      <c r="I5" s="15"/>
      <c r="J5" s="15"/>
      <c r="K5" s="15"/>
    </row>
    <row r="6" spans="1:11" ht="66.75" customHeight="1" x14ac:dyDescent="0.35">
      <c r="A6" s="750"/>
      <c r="B6" s="742"/>
      <c r="C6" s="742"/>
      <c r="D6" s="742"/>
      <c r="E6" s="767"/>
      <c r="F6" s="769"/>
      <c r="G6" s="15"/>
      <c r="H6" s="15"/>
      <c r="I6" s="15"/>
      <c r="J6" s="15"/>
      <c r="K6" s="15"/>
    </row>
    <row r="7" spans="1:11" ht="42" customHeight="1" x14ac:dyDescent="0.35">
      <c r="A7" s="16" t="s">
        <v>3</v>
      </c>
      <c r="B7" s="751" t="s">
        <v>16</v>
      </c>
      <c r="C7" s="751"/>
      <c r="D7" s="17">
        <f>+'[1]13.a.sz.m.Maradvány - int'!K5</f>
        <v>221601436</v>
      </c>
      <c r="E7" s="17">
        <v>4355732523</v>
      </c>
      <c r="F7" s="18">
        <f>+D7+E7</f>
        <v>4577333959</v>
      </c>
      <c r="G7" s="15"/>
      <c r="H7" s="15"/>
      <c r="I7" s="15"/>
      <c r="J7" s="15"/>
      <c r="K7" s="15"/>
    </row>
    <row r="8" spans="1:11" ht="42" customHeight="1" x14ac:dyDescent="0.35">
      <c r="A8" s="16" t="s">
        <v>4</v>
      </c>
      <c r="B8" s="751" t="s">
        <v>17</v>
      </c>
      <c r="C8" s="751"/>
      <c r="D8" s="17">
        <f>+'[1]13.a.sz.m.Maradvány - int'!K6</f>
        <v>1867586082</v>
      </c>
      <c r="E8" s="17">
        <v>2206170590</v>
      </c>
      <c r="F8" s="18">
        <f t="shared" ref="F8:F31" si="0">+D8+E8</f>
        <v>4073756672</v>
      </c>
      <c r="G8" s="15"/>
      <c r="H8" s="15"/>
      <c r="I8" s="15"/>
      <c r="J8" s="15"/>
      <c r="K8" s="15"/>
    </row>
    <row r="9" spans="1:11" ht="81.75" customHeight="1" x14ac:dyDescent="0.35">
      <c r="A9" s="19" t="s">
        <v>5</v>
      </c>
      <c r="B9" s="759" t="s">
        <v>18</v>
      </c>
      <c r="C9" s="759"/>
      <c r="D9" s="17">
        <f>+D7-D8</f>
        <v>-1645984646</v>
      </c>
      <c r="E9" s="17">
        <f>+E7-E8</f>
        <v>2149561933</v>
      </c>
      <c r="F9" s="18">
        <f t="shared" si="0"/>
        <v>503577287</v>
      </c>
      <c r="G9" s="20"/>
      <c r="H9" s="20"/>
      <c r="I9" s="20"/>
      <c r="J9" s="20"/>
      <c r="K9" s="20"/>
    </row>
    <row r="10" spans="1:11" ht="41.25" customHeight="1" x14ac:dyDescent="0.35">
      <c r="A10" s="16" t="s">
        <v>6</v>
      </c>
      <c r="B10" s="751" t="s">
        <v>19</v>
      </c>
      <c r="C10" s="751"/>
      <c r="D10" s="17">
        <f>+'[1]13.a.sz.m.Maradvány - int'!K8</f>
        <v>1732245245</v>
      </c>
      <c r="E10" s="17">
        <v>6652992665</v>
      </c>
      <c r="F10" s="18">
        <f t="shared" si="0"/>
        <v>8385237910</v>
      </c>
      <c r="G10" s="15"/>
      <c r="H10" s="15"/>
      <c r="I10" s="15"/>
      <c r="J10" s="15"/>
      <c r="K10" s="15"/>
    </row>
    <row r="11" spans="1:11" ht="41.25" customHeight="1" x14ac:dyDescent="0.35">
      <c r="A11" s="16" t="s">
        <v>7</v>
      </c>
      <c r="B11" s="751" t="s">
        <v>20</v>
      </c>
      <c r="C11" s="751"/>
      <c r="D11" s="17">
        <f>+'[1]13.a.sz.m.Maradvány - int'!K9</f>
        <v>0</v>
      </c>
      <c r="E11" s="17">
        <v>7870295748</v>
      </c>
      <c r="F11" s="18">
        <f t="shared" si="0"/>
        <v>7870295748</v>
      </c>
      <c r="G11" s="15"/>
      <c r="H11" s="15"/>
      <c r="I11" s="15"/>
      <c r="J11" s="15"/>
      <c r="K11" s="15"/>
    </row>
    <row r="12" spans="1:11" ht="81" customHeight="1" x14ac:dyDescent="0.35">
      <c r="A12" s="21" t="s">
        <v>8</v>
      </c>
      <c r="B12" s="742" t="s">
        <v>21</v>
      </c>
      <c r="C12" s="742"/>
      <c r="D12" s="17">
        <f>+D10-D11</f>
        <v>1732245245</v>
      </c>
      <c r="E12" s="17">
        <f>+E10-E11</f>
        <v>-1217303083</v>
      </c>
      <c r="F12" s="18">
        <f t="shared" si="0"/>
        <v>514942162</v>
      </c>
      <c r="G12" s="22"/>
      <c r="H12" s="22"/>
      <c r="I12" s="22"/>
      <c r="J12" s="22"/>
      <c r="K12" s="22"/>
    </row>
    <row r="13" spans="1:11" ht="81" customHeight="1" x14ac:dyDescent="0.35">
      <c r="A13" s="21" t="s">
        <v>9</v>
      </c>
      <c r="B13" s="742" t="s">
        <v>22</v>
      </c>
      <c r="C13" s="742"/>
      <c r="D13" s="17">
        <f>+D9+D12</f>
        <v>86260599</v>
      </c>
      <c r="E13" s="17">
        <f>+E9+E12</f>
        <v>932258850</v>
      </c>
      <c r="F13" s="18">
        <f t="shared" si="0"/>
        <v>1018519449</v>
      </c>
      <c r="G13" s="22"/>
      <c r="H13" s="22"/>
      <c r="I13" s="22"/>
      <c r="J13" s="22"/>
      <c r="K13" s="22"/>
    </row>
    <row r="14" spans="1:11" ht="40.5" customHeight="1" x14ac:dyDescent="0.35">
      <c r="A14" s="21" t="s">
        <v>23</v>
      </c>
      <c r="B14" s="742" t="s">
        <v>24</v>
      </c>
      <c r="C14" s="742"/>
      <c r="D14" s="17">
        <f>+[2]Intézmények!K10</f>
        <v>0</v>
      </c>
      <c r="E14" s="17">
        <v>0</v>
      </c>
      <c r="F14" s="18">
        <f t="shared" si="0"/>
        <v>0</v>
      </c>
      <c r="G14" s="22"/>
      <c r="H14" s="22"/>
      <c r="I14" s="22"/>
      <c r="J14" s="22"/>
      <c r="K14" s="22"/>
    </row>
    <row r="15" spans="1:11" ht="81.75" customHeight="1" x14ac:dyDescent="0.35">
      <c r="A15" s="21" t="s">
        <v>27</v>
      </c>
      <c r="B15" s="742" t="s">
        <v>46</v>
      </c>
      <c r="C15" s="742"/>
      <c r="D15" s="17">
        <f>SUM(D13:D14)</f>
        <v>86260599</v>
      </c>
      <c r="E15" s="17">
        <f>SUM(E13:E14)</f>
        <v>932258850</v>
      </c>
      <c r="F15" s="18">
        <f t="shared" si="0"/>
        <v>1018519449</v>
      </c>
      <c r="G15" s="22"/>
      <c r="H15" s="22"/>
      <c r="I15" s="22"/>
      <c r="J15" s="22"/>
      <c r="K15" s="22"/>
    </row>
    <row r="16" spans="1:11" ht="51.75" customHeight="1" x14ac:dyDescent="0.35">
      <c r="A16" s="21" t="s">
        <v>31</v>
      </c>
      <c r="B16" s="751" t="s">
        <v>28</v>
      </c>
      <c r="C16" s="751"/>
      <c r="D16" s="17">
        <f>+'[1]13.a.sz.m.Maradvány - int'!K14</f>
        <v>4509231</v>
      </c>
      <c r="E16" s="17">
        <v>73797356</v>
      </c>
      <c r="F16" s="18">
        <f t="shared" si="0"/>
        <v>78306587</v>
      </c>
      <c r="G16" s="51">
        <f>+E17+E18</f>
        <v>73797356</v>
      </c>
      <c r="H16" s="23"/>
      <c r="I16" s="23"/>
      <c r="J16" s="23"/>
      <c r="K16" s="23"/>
    </row>
    <row r="17" spans="1:11" ht="32.25" customHeight="1" x14ac:dyDescent="0.35">
      <c r="A17" s="19"/>
      <c r="B17" s="761" t="s">
        <v>29</v>
      </c>
      <c r="C17" s="761"/>
      <c r="D17" s="24">
        <f>+'[1]13.a.sz.m.Maradvány - int'!K15</f>
        <v>4509231</v>
      </c>
      <c r="E17" s="24">
        <f>+E16-E18</f>
        <v>20743778</v>
      </c>
      <c r="F17" s="25">
        <f t="shared" si="0"/>
        <v>25253009</v>
      </c>
      <c r="G17" s="26"/>
      <c r="H17" s="26"/>
      <c r="I17" s="26"/>
      <c r="J17" s="26"/>
      <c r="K17" s="26"/>
    </row>
    <row r="18" spans="1:11" ht="32.25" customHeight="1" x14ac:dyDescent="0.35">
      <c r="A18" s="19"/>
      <c r="B18" s="761" t="s">
        <v>30</v>
      </c>
      <c r="C18" s="761"/>
      <c r="D18" s="24">
        <f>+'[1]13.a.sz.m.Maradvány - int'!K16</f>
        <v>0</v>
      </c>
      <c r="E18" s="24">
        <f>+'[1]13.c.sz.m.Kötött maradvány'!C90+'[1]13.c.sz.m.Kötött maradvány'!C91</f>
        <v>53053578</v>
      </c>
      <c r="F18" s="25">
        <f t="shared" si="0"/>
        <v>53053578</v>
      </c>
      <c r="G18" s="26"/>
      <c r="H18" s="27">
        <f>SUM(E17:E18)</f>
        <v>73797356</v>
      </c>
      <c r="I18" s="26"/>
      <c r="J18" s="26"/>
      <c r="K18" s="26"/>
    </row>
    <row r="19" spans="1:11" ht="84" customHeight="1" x14ac:dyDescent="0.35">
      <c r="A19" s="21" t="s">
        <v>33</v>
      </c>
      <c r="B19" s="742" t="s">
        <v>47</v>
      </c>
      <c r="C19" s="742"/>
      <c r="D19" s="17">
        <f>+D15-D16</f>
        <v>81751368</v>
      </c>
      <c r="E19" s="17">
        <f>+E15-E16</f>
        <v>858461494</v>
      </c>
      <c r="F19" s="18">
        <f t="shared" si="0"/>
        <v>940212862</v>
      </c>
      <c r="G19" s="28" t="s">
        <v>48</v>
      </c>
      <c r="H19" s="28"/>
      <c r="I19" s="23" t="s">
        <v>49</v>
      </c>
      <c r="J19" s="29">
        <v>725133</v>
      </c>
      <c r="K19" s="28"/>
    </row>
    <row r="20" spans="1:11" ht="53.25" customHeight="1" x14ac:dyDescent="0.35">
      <c r="A20" s="21" t="s">
        <v>34</v>
      </c>
      <c r="B20" s="742" t="s">
        <v>863</v>
      </c>
      <c r="C20" s="742"/>
      <c r="D20" s="17">
        <f>+'[1]13.a.sz.m.Maradvány - int'!K18</f>
        <v>0</v>
      </c>
      <c r="E20" s="17">
        <f>+E21+E22</f>
        <v>22210720</v>
      </c>
      <c r="F20" s="18">
        <f t="shared" si="0"/>
        <v>22210720</v>
      </c>
      <c r="G20" s="28"/>
      <c r="H20" s="28"/>
      <c r="I20" s="28"/>
      <c r="J20" s="28"/>
      <c r="K20" s="28"/>
    </row>
    <row r="21" spans="1:11" ht="30.75" customHeight="1" x14ac:dyDescent="0.35">
      <c r="A21" s="19"/>
      <c r="B21" s="761" t="s">
        <v>29</v>
      </c>
      <c r="C21" s="761"/>
      <c r="D21" s="24">
        <v>0</v>
      </c>
      <c r="E21" s="24">
        <f>+'[1]13.c.sz.m.Kötött maradvány'!C94</f>
        <v>22210720</v>
      </c>
      <c r="F21" s="25">
        <f>+E21+D21</f>
        <v>22210720</v>
      </c>
      <c r="G21" s="30"/>
      <c r="H21" s="30"/>
      <c r="I21" s="30"/>
      <c r="J21" s="30"/>
      <c r="K21" s="30"/>
    </row>
    <row r="22" spans="1:11" ht="30.75" customHeight="1" x14ac:dyDescent="0.35">
      <c r="A22" s="19"/>
      <c r="B22" s="761" t="s">
        <v>30</v>
      </c>
      <c r="C22" s="761"/>
      <c r="D22" s="24">
        <v>0</v>
      </c>
      <c r="E22" s="24">
        <v>0</v>
      </c>
      <c r="F22" s="25">
        <f>+E22+D22</f>
        <v>0</v>
      </c>
      <c r="G22" s="30"/>
      <c r="H22" s="30"/>
      <c r="I22" s="30"/>
      <c r="J22" s="30"/>
      <c r="K22" s="30"/>
    </row>
    <row r="23" spans="1:11" ht="59.25" customHeight="1" x14ac:dyDescent="0.35">
      <c r="A23" s="21" t="s">
        <v>36</v>
      </c>
      <c r="B23" s="742" t="s">
        <v>35</v>
      </c>
      <c r="C23" s="742"/>
      <c r="D23" s="17">
        <f>+D24+D25</f>
        <v>378408</v>
      </c>
      <c r="E23" s="17">
        <f>SUM(E24:E25)</f>
        <v>19289112</v>
      </c>
      <c r="F23" s="18">
        <f t="shared" si="0"/>
        <v>19667520</v>
      </c>
      <c r="G23" s="28"/>
      <c r="H23" s="28"/>
      <c r="I23" s="28"/>
      <c r="J23" s="28"/>
      <c r="K23" s="28"/>
    </row>
    <row r="24" spans="1:11" ht="34.5" customHeight="1" x14ac:dyDescent="0.35">
      <c r="A24" s="19"/>
      <c r="B24" s="761" t="s">
        <v>29</v>
      </c>
      <c r="C24" s="761"/>
      <c r="D24" s="24">
        <f>+'[1]13.a.sz.m.Maradvány - int'!K20</f>
        <v>378408</v>
      </c>
      <c r="E24" s="24">
        <f>+'[1]13.c.sz.m.Kötött maradvány'!C103+'[1]13.c.sz.m.Kötött maradvány'!C104+'[1]13.c.sz.m.Kötött maradvány'!C105</f>
        <v>1728350</v>
      </c>
      <c r="F24" s="25">
        <f>+D24+E24</f>
        <v>2106758</v>
      </c>
      <c r="G24" s="30"/>
      <c r="H24" s="31">
        <f>+E19-E20-E23</f>
        <v>816961662</v>
      </c>
      <c r="I24" s="30"/>
      <c r="J24" s="30"/>
      <c r="K24" s="30"/>
    </row>
    <row r="25" spans="1:11" ht="34.5" customHeight="1" x14ac:dyDescent="0.35">
      <c r="A25" s="19"/>
      <c r="B25" s="761" t="s">
        <v>30</v>
      </c>
      <c r="C25" s="761"/>
      <c r="D25" s="24">
        <v>0</v>
      </c>
      <c r="E25" s="24">
        <f>+'[1]13.c.sz.m.Kötött maradvány'!C97+'[1]13.c.sz.m.Kötött maradvány'!C98+'[1]13.c.sz.m.Kötött maradvány'!C99+'[1]13.c.sz.m.Kötött maradvány'!C100+'[1]13.c.sz.m.Kötött maradvány'!C101+'[1]13.c.sz.m.Kötött maradvány'!C102</f>
        <v>17560762</v>
      </c>
      <c r="F25" s="25">
        <f>+E25+D25</f>
        <v>17560762</v>
      </c>
      <c r="G25" s="31">
        <f>SUM(E24:E25)</f>
        <v>19289112</v>
      </c>
      <c r="H25" s="30"/>
      <c r="I25" s="30"/>
      <c r="J25" s="31">
        <f>+F16+F20+F23</f>
        <v>120184827</v>
      </c>
      <c r="K25" s="30"/>
    </row>
    <row r="26" spans="1:11" ht="58.5" customHeight="1" x14ac:dyDescent="0.35">
      <c r="A26" s="21" t="s">
        <v>38</v>
      </c>
      <c r="B26" s="742" t="s">
        <v>37</v>
      </c>
      <c r="C26" s="742"/>
      <c r="D26" s="17">
        <f>D19-D20-D23</f>
        <v>81372960</v>
      </c>
      <c r="E26" s="17">
        <f>+E19-E20-E23</f>
        <v>816961662</v>
      </c>
      <c r="F26" s="18">
        <f t="shared" si="0"/>
        <v>898334622</v>
      </c>
      <c r="G26" s="28"/>
      <c r="H26" s="28"/>
      <c r="I26" s="28"/>
      <c r="J26" s="28"/>
      <c r="K26" s="28"/>
    </row>
    <row r="27" spans="1:11" s="562" customFormat="1" ht="32.25" customHeight="1" x14ac:dyDescent="0.35">
      <c r="A27" s="559" t="s">
        <v>40</v>
      </c>
      <c r="B27" s="762" t="s">
        <v>39</v>
      </c>
      <c r="C27" s="762"/>
      <c r="D27" s="560">
        <f>-+'13.a.sz.m.Maradvány - int'!K24</f>
        <v>-80872960</v>
      </c>
      <c r="E27" s="560">
        <v>0</v>
      </c>
      <c r="F27" s="561">
        <f t="shared" si="0"/>
        <v>-80872960</v>
      </c>
      <c r="G27" s="23"/>
      <c r="H27" s="23"/>
      <c r="I27" s="23"/>
      <c r="J27" s="23"/>
      <c r="K27" s="23"/>
    </row>
    <row r="28" spans="1:11" s="562" customFormat="1" ht="32.25" customHeight="1" x14ac:dyDescent="0.35">
      <c r="A28" s="559" t="s">
        <v>50</v>
      </c>
      <c r="B28" s="762" t="s">
        <v>51</v>
      </c>
      <c r="C28" s="762"/>
      <c r="D28" s="560">
        <v>0</v>
      </c>
      <c r="E28" s="560">
        <f>-D27</f>
        <v>80872960</v>
      </c>
      <c r="F28" s="561">
        <f t="shared" si="0"/>
        <v>80872960</v>
      </c>
      <c r="G28" s="23"/>
      <c r="H28" s="23"/>
      <c r="I28" s="23"/>
      <c r="J28" s="23"/>
      <c r="K28" s="23"/>
    </row>
    <row r="29" spans="1:11" ht="63" customHeight="1" x14ac:dyDescent="0.35">
      <c r="A29" s="21" t="s">
        <v>52</v>
      </c>
      <c r="B29" s="763" t="s">
        <v>74</v>
      </c>
      <c r="C29" s="763"/>
      <c r="D29" s="17">
        <f>+'13.a.sz.m.Maradvány - int'!D23</f>
        <v>500000</v>
      </c>
      <c r="E29" s="17">
        <f>+E26+E28</f>
        <v>897834622</v>
      </c>
      <c r="F29" s="18">
        <f t="shared" si="0"/>
        <v>898334622</v>
      </c>
      <c r="G29" s="23"/>
      <c r="H29" s="23"/>
      <c r="I29" s="23"/>
      <c r="J29" s="23"/>
      <c r="K29" s="23"/>
    </row>
    <row r="30" spans="1:11" ht="34.5" customHeight="1" x14ac:dyDescent="0.35">
      <c r="A30" s="19"/>
      <c r="B30" s="761" t="s">
        <v>29</v>
      </c>
      <c r="C30" s="761"/>
      <c r="D30" s="24">
        <f>+[2]Intézmények!K24</f>
        <v>0</v>
      </c>
      <c r="E30" s="24">
        <f>+'13.d.sz.m.Szabad maradvány'!F82</f>
        <v>737334622</v>
      </c>
      <c r="F30" s="18">
        <f t="shared" si="0"/>
        <v>737334622</v>
      </c>
      <c r="G30" s="30"/>
      <c r="H30" s="30"/>
      <c r="I30" s="30"/>
      <c r="J30" s="30"/>
      <c r="K30" s="30"/>
    </row>
    <row r="31" spans="1:11" ht="34.5" customHeight="1" x14ac:dyDescent="0.35">
      <c r="A31" s="32"/>
      <c r="B31" s="760" t="s">
        <v>30</v>
      </c>
      <c r="C31" s="760"/>
      <c r="D31" s="33">
        <f>+'13.a.sz.m.Maradvány - int'!D23</f>
        <v>500000</v>
      </c>
      <c r="E31" s="386">
        <f>+'13.d.sz.m.Szabad maradvány'!F14</f>
        <v>160500000</v>
      </c>
      <c r="F31" s="18">
        <f t="shared" si="0"/>
        <v>161000000</v>
      </c>
      <c r="G31" s="30"/>
      <c r="H31" s="30"/>
      <c r="I31" s="30"/>
      <c r="J31" s="30"/>
      <c r="K31" s="30"/>
    </row>
    <row r="32" spans="1:11" ht="23.25" x14ac:dyDescent="0.35">
      <c r="A32" s="34"/>
      <c r="B32" s="35"/>
      <c r="C32" s="35"/>
      <c r="D32" s="36"/>
      <c r="E32" s="387"/>
      <c r="F32" s="36"/>
      <c r="G32" s="23" t="s">
        <v>873</v>
      </c>
      <c r="H32" s="51">
        <f>+F17+F21+F24+F30</f>
        <v>786905109</v>
      </c>
      <c r="I32" s="23"/>
      <c r="J32" s="23"/>
      <c r="K32" s="23"/>
    </row>
    <row r="33" spans="1:11" ht="23.25" x14ac:dyDescent="0.35">
      <c r="A33" s="34"/>
      <c r="B33" s="35"/>
      <c r="C33" s="35"/>
      <c r="D33" s="36"/>
      <c r="E33" s="387"/>
      <c r="F33" s="37"/>
      <c r="G33" s="23" t="s">
        <v>874</v>
      </c>
      <c r="H33" s="51">
        <f>+F31+F25+F22+F18</f>
        <v>231614340</v>
      </c>
      <c r="I33" s="23"/>
      <c r="J33" s="23"/>
      <c r="K33" s="23"/>
    </row>
    <row r="34" spans="1:11" ht="23.25" x14ac:dyDescent="0.35">
      <c r="A34" s="34"/>
      <c r="B34" s="35"/>
      <c r="C34" s="35"/>
      <c r="D34" s="36"/>
      <c r="E34" s="36"/>
      <c r="F34" s="36"/>
      <c r="G34" s="23" t="s">
        <v>875</v>
      </c>
      <c r="H34" s="51">
        <f>SUM(H32:H33)</f>
        <v>1018519449</v>
      </c>
      <c r="I34" s="23"/>
      <c r="J34" s="23"/>
      <c r="K34" s="23"/>
    </row>
    <row r="36" spans="1:11" x14ac:dyDescent="0.25">
      <c r="E36" s="366">
        <f>+E30+E31</f>
        <v>897834622</v>
      </c>
    </row>
    <row r="37" spans="1:11" x14ac:dyDescent="0.25">
      <c r="E37" s="366"/>
    </row>
    <row r="39" spans="1:11" x14ac:dyDescent="0.25">
      <c r="G39" s="1" t="s">
        <v>1037</v>
      </c>
      <c r="H39" s="366">
        <f>+F16+F20+F23</f>
        <v>120184827</v>
      </c>
    </row>
    <row r="40" spans="1:11" x14ac:dyDescent="0.25">
      <c r="G40" s="1" t="s">
        <v>74</v>
      </c>
      <c r="H40" s="366">
        <f>+F29</f>
        <v>898334622</v>
      </c>
    </row>
    <row r="41" spans="1:11" x14ac:dyDescent="0.25">
      <c r="G41" s="1" t="s">
        <v>1038</v>
      </c>
      <c r="H41" s="366">
        <f>SUM(H39:H40)</f>
        <v>1018519449</v>
      </c>
    </row>
  </sheetData>
  <mergeCells count="31">
    <mergeCell ref="B12:C12"/>
    <mergeCell ref="A2:F2"/>
    <mergeCell ref="A5:A6"/>
    <mergeCell ref="B5:C6"/>
    <mergeCell ref="D5:D6"/>
    <mergeCell ref="E5:E6"/>
    <mergeCell ref="F5:F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1:C31"/>
    <mergeCell ref="B25:C25"/>
    <mergeCell ref="B26:C26"/>
    <mergeCell ref="B27:C27"/>
    <mergeCell ref="B28:C28"/>
    <mergeCell ref="B29:C29"/>
    <mergeCell ref="B30:C30"/>
  </mergeCells>
  <pageMargins left="0.27559055118110237" right="0.27559055118110237" top="0.74803149606299213" bottom="0.63" header="0.31496062992125984" footer="0.31496062992125984"/>
  <pageSetup paperSize="9" scale="30" orientation="portrait" r:id="rId1"/>
  <headerFooter>
    <oddHeader>&amp;CDunaharaszti Város Önkormányzat 2016. évi zárszámadás&amp;R&amp;A</oddHeader>
    <oddFooter xml:space="preserve">&amp;C&amp;P/&amp;N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view="pageBreakPreview" topLeftCell="A229" zoomScale="80" zoomScaleNormal="50" zoomScaleSheetLayoutView="80" zoomScalePageLayoutView="78" workbookViewId="0">
      <selection activeCell="D182" sqref="D182"/>
    </sheetView>
  </sheetViews>
  <sheetFormatPr defaultColWidth="9.140625" defaultRowHeight="15" x14ac:dyDescent="0.25"/>
  <cols>
    <col min="1" max="1" width="9.140625" style="1"/>
    <col min="2" max="2" width="96.28515625" style="1" customWidth="1"/>
    <col min="3" max="3" width="33" style="365" customWidth="1"/>
    <col min="4" max="4" width="40.140625" style="1" customWidth="1"/>
    <col min="5" max="5" width="22.5703125" style="1" customWidth="1"/>
    <col min="6" max="6" width="71.42578125" style="1" customWidth="1"/>
    <col min="7" max="7" width="28.42578125" style="1" customWidth="1"/>
    <col min="8" max="258" width="9.140625" style="1"/>
    <col min="259" max="259" width="96.28515625" style="1" customWidth="1"/>
    <col min="260" max="260" width="33" style="1" customWidth="1"/>
    <col min="261" max="261" width="22.5703125" style="1" customWidth="1"/>
    <col min="262" max="262" width="13.42578125" style="1" bestFit="1" customWidth="1"/>
    <col min="263" max="514" width="9.140625" style="1"/>
    <col min="515" max="515" width="96.28515625" style="1" customWidth="1"/>
    <col min="516" max="516" width="33" style="1" customWidth="1"/>
    <col min="517" max="517" width="22.5703125" style="1" customWidth="1"/>
    <col min="518" max="518" width="13.42578125" style="1" bestFit="1" customWidth="1"/>
    <col min="519" max="770" width="9.140625" style="1"/>
    <col min="771" max="771" width="96.28515625" style="1" customWidth="1"/>
    <col min="772" max="772" width="33" style="1" customWidth="1"/>
    <col min="773" max="773" width="22.5703125" style="1" customWidth="1"/>
    <col min="774" max="774" width="13.42578125" style="1" bestFit="1" customWidth="1"/>
    <col min="775" max="1026" width="9.140625" style="1"/>
    <col min="1027" max="1027" width="96.28515625" style="1" customWidth="1"/>
    <col min="1028" max="1028" width="33" style="1" customWidth="1"/>
    <col min="1029" max="1029" width="22.5703125" style="1" customWidth="1"/>
    <col min="1030" max="1030" width="13.42578125" style="1" bestFit="1" customWidth="1"/>
    <col min="1031" max="1282" width="9.140625" style="1"/>
    <col min="1283" max="1283" width="96.28515625" style="1" customWidth="1"/>
    <col min="1284" max="1284" width="33" style="1" customWidth="1"/>
    <col min="1285" max="1285" width="22.5703125" style="1" customWidth="1"/>
    <col min="1286" max="1286" width="13.42578125" style="1" bestFit="1" customWidth="1"/>
    <col min="1287" max="1538" width="9.140625" style="1"/>
    <col min="1539" max="1539" width="96.28515625" style="1" customWidth="1"/>
    <col min="1540" max="1540" width="33" style="1" customWidth="1"/>
    <col min="1541" max="1541" width="22.5703125" style="1" customWidth="1"/>
    <col min="1542" max="1542" width="13.42578125" style="1" bestFit="1" customWidth="1"/>
    <col min="1543" max="1794" width="9.140625" style="1"/>
    <col min="1795" max="1795" width="96.28515625" style="1" customWidth="1"/>
    <col min="1796" max="1796" width="33" style="1" customWidth="1"/>
    <col min="1797" max="1797" width="22.5703125" style="1" customWidth="1"/>
    <col min="1798" max="1798" width="13.42578125" style="1" bestFit="1" customWidth="1"/>
    <col min="1799" max="2050" width="9.140625" style="1"/>
    <col min="2051" max="2051" width="96.28515625" style="1" customWidth="1"/>
    <col min="2052" max="2052" width="33" style="1" customWidth="1"/>
    <col min="2053" max="2053" width="22.5703125" style="1" customWidth="1"/>
    <col min="2054" max="2054" width="13.42578125" style="1" bestFit="1" customWidth="1"/>
    <col min="2055" max="2306" width="9.140625" style="1"/>
    <col min="2307" max="2307" width="96.28515625" style="1" customWidth="1"/>
    <col min="2308" max="2308" width="33" style="1" customWidth="1"/>
    <col min="2309" max="2309" width="22.5703125" style="1" customWidth="1"/>
    <col min="2310" max="2310" width="13.42578125" style="1" bestFit="1" customWidth="1"/>
    <col min="2311" max="2562" width="9.140625" style="1"/>
    <col min="2563" max="2563" width="96.28515625" style="1" customWidth="1"/>
    <col min="2564" max="2564" width="33" style="1" customWidth="1"/>
    <col min="2565" max="2565" width="22.5703125" style="1" customWidth="1"/>
    <col min="2566" max="2566" width="13.42578125" style="1" bestFit="1" customWidth="1"/>
    <col min="2567" max="2818" width="9.140625" style="1"/>
    <col min="2819" max="2819" width="96.28515625" style="1" customWidth="1"/>
    <col min="2820" max="2820" width="33" style="1" customWidth="1"/>
    <col min="2821" max="2821" width="22.5703125" style="1" customWidth="1"/>
    <col min="2822" max="2822" width="13.42578125" style="1" bestFit="1" customWidth="1"/>
    <col min="2823" max="3074" width="9.140625" style="1"/>
    <col min="3075" max="3075" width="96.28515625" style="1" customWidth="1"/>
    <col min="3076" max="3076" width="33" style="1" customWidth="1"/>
    <col min="3077" max="3077" width="22.5703125" style="1" customWidth="1"/>
    <col min="3078" max="3078" width="13.42578125" style="1" bestFit="1" customWidth="1"/>
    <col min="3079" max="3330" width="9.140625" style="1"/>
    <col min="3331" max="3331" width="96.28515625" style="1" customWidth="1"/>
    <col min="3332" max="3332" width="33" style="1" customWidth="1"/>
    <col min="3333" max="3333" width="22.5703125" style="1" customWidth="1"/>
    <col min="3334" max="3334" width="13.42578125" style="1" bestFit="1" customWidth="1"/>
    <col min="3335" max="3586" width="9.140625" style="1"/>
    <col min="3587" max="3587" width="96.28515625" style="1" customWidth="1"/>
    <col min="3588" max="3588" width="33" style="1" customWidth="1"/>
    <col min="3589" max="3589" width="22.5703125" style="1" customWidth="1"/>
    <col min="3590" max="3590" width="13.42578125" style="1" bestFit="1" customWidth="1"/>
    <col min="3591" max="3842" width="9.140625" style="1"/>
    <col min="3843" max="3843" width="96.28515625" style="1" customWidth="1"/>
    <col min="3844" max="3844" width="33" style="1" customWidth="1"/>
    <col min="3845" max="3845" width="22.5703125" style="1" customWidth="1"/>
    <col min="3846" max="3846" width="13.42578125" style="1" bestFit="1" customWidth="1"/>
    <col min="3847" max="4098" width="9.140625" style="1"/>
    <col min="4099" max="4099" width="96.28515625" style="1" customWidth="1"/>
    <col min="4100" max="4100" width="33" style="1" customWidth="1"/>
    <col min="4101" max="4101" width="22.5703125" style="1" customWidth="1"/>
    <col min="4102" max="4102" width="13.42578125" style="1" bestFit="1" customWidth="1"/>
    <col min="4103" max="4354" width="9.140625" style="1"/>
    <col min="4355" max="4355" width="96.28515625" style="1" customWidth="1"/>
    <col min="4356" max="4356" width="33" style="1" customWidth="1"/>
    <col min="4357" max="4357" width="22.5703125" style="1" customWidth="1"/>
    <col min="4358" max="4358" width="13.42578125" style="1" bestFit="1" customWidth="1"/>
    <col min="4359" max="4610" width="9.140625" style="1"/>
    <col min="4611" max="4611" width="96.28515625" style="1" customWidth="1"/>
    <col min="4612" max="4612" width="33" style="1" customWidth="1"/>
    <col min="4613" max="4613" width="22.5703125" style="1" customWidth="1"/>
    <col min="4614" max="4614" width="13.42578125" style="1" bestFit="1" customWidth="1"/>
    <col min="4615" max="4866" width="9.140625" style="1"/>
    <col min="4867" max="4867" width="96.28515625" style="1" customWidth="1"/>
    <col min="4868" max="4868" width="33" style="1" customWidth="1"/>
    <col min="4869" max="4869" width="22.5703125" style="1" customWidth="1"/>
    <col min="4870" max="4870" width="13.42578125" style="1" bestFit="1" customWidth="1"/>
    <col min="4871" max="5122" width="9.140625" style="1"/>
    <col min="5123" max="5123" width="96.28515625" style="1" customWidth="1"/>
    <col min="5124" max="5124" width="33" style="1" customWidth="1"/>
    <col min="5125" max="5125" width="22.5703125" style="1" customWidth="1"/>
    <col min="5126" max="5126" width="13.42578125" style="1" bestFit="1" customWidth="1"/>
    <col min="5127" max="5378" width="9.140625" style="1"/>
    <col min="5379" max="5379" width="96.28515625" style="1" customWidth="1"/>
    <col min="5380" max="5380" width="33" style="1" customWidth="1"/>
    <col min="5381" max="5381" width="22.5703125" style="1" customWidth="1"/>
    <col min="5382" max="5382" width="13.42578125" style="1" bestFit="1" customWidth="1"/>
    <col min="5383" max="5634" width="9.140625" style="1"/>
    <col min="5635" max="5635" width="96.28515625" style="1" customWidth="1"/>
    <col min="5636" max="5636" width="33" style="1" customWidth="1"/>
    <col min="5637" max="5637" width="22.5703125" style="1" customWidth="1"/>
    <col min="5638" max="5638" width="13.42578125" style="1" bestFit="1" customWidth="1"/>
    <col min="5639" max="5890" width="9.140625" style="1"/>
    <col min="5891" max="5891" width="96.28515625" style="1" customWidth="1"/>
    <col min="5892" max="5892" width="33" style="1" customWidth="1"/>
    <col min="5893" max="5893" width="22.5703125" style="1" customWidth="1"/>
    <col min="5894" max="5894" width="13.42578125" style="1" bestFit="1" customWidth="1"/>
    <col min="5895" max="6146" width="9.140625" style="1"/>
    <col min="6147" max="6147" width="96.28515625" style="1" customWidth="1"/>
    <col min="6148" max="6148" width="33" style="1" customWidth="1"/>
    <col min="6149" max="6149" width="22.5703125" style="1" customWidth="1"/>
    <col min="6150" max="6150" width="13.42578125" style="1" bestFit="1" customWidth="1"/>
    <col min="6151" max="6402" width="9.140625" style="1"/>
    <col min="6403" max="6403" width="96.28515625" style="1" customWidth="1"/>
    <col min="6404" max="6404" width="33" style="1" customWidth="1"/>
    <col min="6405" max="6405" width="22.5703125" style="1" customWidth="1"/>
    <col min="6406" max="6406" width="13.42578125" style="1" bestFit="1" customWidth="1"/>
    <col min="6407" max="6658" width="9.140625" style="1"/>
    <col min="6659" max="6659" width="96.28515625" style="1" customWidth="1"/>
    <col min="6660" max="6660" width="33" style="1" customWidth="1"/>
    <col min="6661" max="6661" width="22.5703125" style="1" customWidth="1"/>
    <col min="6662" max="6662" width="13.42578125" style="1" bestFit="1" customWidth="1"/>
    <col min="6663" max="6914" width="9.140625" style="1"/>
    <col min="6915" max="6915" width="96.28515625" style="1" customWidth="1"/>
    <col min="6916" max="6916" width="33" style="1" customWidth="1"/>
    <col min="6917" max="6917" width="22.5703125" style="1" customWidth="1"/>
    <col min="6918" max="6918" width="13.42578125" style="1" bestFit="1" customWidth="1"/>
    <col min="6919" max="7170" width="9.140625" style="1"/>
    <col min="7171" max="7171" width="96.28515625" style="1" customWidth="1"/>
    <col min="7172" max="7172" width="33" style="1" customWidth="1"/>
    <col min="7173" max="7173" width="22.5703125" style="1" customWidth="1"/>
    <col min="7174" max="7174" width="13.42578125" style="1" bestFit="1" customWidth="1"/>
    <col min="7175" max="7426" width="9.140625" style="1"/>
    <col min="7427" max="7427" width="96.28515625" style="1" customWidth="1"/>
    <col min="7428" max="7428" width="33" style="1" customWidth="1"/>
    <col min="7429" max="7429" width="22.5703125" style="1" customWidth="1"/>
    <col min="7430" max="7430" width="13.42578125" style="1" bestFit="1" customWidth="1"/>
    <col min="7431" max="7682" width="9.140625" style="1"/>
    <col min="7683" max="7683" width="96.28515625" style="1" customWidth="1"/>
    <col min="7684" max="7684" width="33" style="1" customWidth="1"/>
    <col min="7685" max="7685" width="22.5703125" style="1" customWidth="1"/>
    <col min="7686" max="7686" width="13.42578125" style="1" bestFit="1" customWidth="1"/>
    <col min="7687" max="7938" width="9.140625" style="1"/>
    <col min="7939" max="7939" width="96.28515625" style="1" customWidth="1"/>
    <col min="7940" max="7940" width="33" style="1" customWidth="1"/>
    <col min="7941" max="7941" width="22.5703125" style="1" customWidth="1"/>
    <col min="7942" max="7942" width="13.42578125" style="1" bestFit="1" customWidth="1"/>
    <col min="7943" max="8194" width="9.140625" style="1"/>
    <col min="8195" max="8195" width="96.28515625" style="1" customWidth="1"/>
    <col min="8196" max="8196" width="33" style="1" customWidth="1"/>
    <col min="8197" max="8197" width="22.5703125" style="1" customWidth="1"/>
    <col min="8198" max="8198" width="13.42578125" style="1" bestFit="1" customWidth="1"/>
    <col min="8199" max="8450" width="9.140625" style="1"/>
    <col min="8451" max="8451" width="96.28515625" style="1" customWidth="1"/>
    <col min="8452" max="8452" width="33" style="1" customWidth="1"/>
    <col min="8453" max="8453" width="22.5703125" style="1" customWidth="1"/>
    <col min="8454" max="8454" width="13.42578125" style="1" bestFit="1" customWidth="1"/>
    <col min="8455" max="8706" width="9.140625" style="1"/>
    <col min="8707" max="8707" width="96.28515625" style="1" customWidth="1"/>
    <col min="8708" max="8708" width="33" style="1" customWidth="1"/>
    <col min="8709" max="8709" width="22.5703125" style="1" customWidth="1"/>
    <col min="8710" max="8710" width="13.42578125" style="1" bestFit="1" customWidth="1"/>
    <col min="8711" max="8962" width="9.140625" style="1"/>
    <col min="8963" max="8963" width="96.28515625" style="1" customWidth="1"/>
    <col min="8964" max="8964" width="33" style="1" customWidth="1"/>
    <col min="8965" max="8965" width="22.5703125" style="1" customWidth="1"/>
    <col min="8966" max="8966" width="13.42578125" style="1" bestFit="1" customWidth="1"/>
    <col min="8967" max="9218" width="9.140625" style="1"/>
    <col min="9219" max="9219" width="96.28515625" style="1" customWidth="1"/>
    <col min="9220" max="9220" width="33" style="1" customWidth="1"/>
    <col min="9221" max="9221" width="22.5703125" style="1" customWidth="1"/>
    <col min="9222" max="9222" width="13.42578125" style="1" bestFit="1" customWidth="1"/>
    <col min="9223" max="9474" width="9.140625" style="1"/>
    <col min="9475" max="9475" width="96.28515625" style="1" customWidth="1"/>
    <col min="9476" max="9476" width="33" style="1" customWidth="1"/>
    <col min="9477" max="9477" width="22.5703125" style="1" customWidth="1"/>
    <col min="9478" max="9478" width="13.42578125" style="1" bestFit="1" customWidth="1"/>
    <col min="9479" max="9730" width="9.140625" style="1"/>
    <col min="9731" max="9731" width="96.28515625" style="1" customWidth="1"/>
    <col min="9732" max="9732" width="33" style="1" customWidth="1"/>
    <col min="9733" max="9733" width="22.5703125" style="1" customWidth="1"/>
    <col min="9734" max="9734" width="13.42578125" style="1" bestFit="1" customWidth="1"/>
    <col min="9735" max="9986" width="9.140625" style="1"/>
    <col min="9987" max="9987" width="96.28515625" style="1" customWidth="1"/>
    <col min="9988" max="9988" width="33" style="1" customWidth="1"/>
    <col min="9989" max="9989" width="22.5703125" style="1" customWidth="1"/>
    <col min="9990" max="9990" width="13.42578125" style="1" bestFit="1" customWidth="1"/>
    <col min="9991" max="10242" width="9.140625" style="1"/>
    <col min="10243" max="10243" width="96.28515625" style="1" customWidth="1"/>
    <col min="10244" max="10244" width="33" style="1" customWidth="1"/>
    <col min="10245" max="10245" width="22.5703125" style="1" customWidth="1"/>
    <col min="10246" max="10246" width="13.42578125" style="1" bestFit="1" customWidth="1"/>
    <col min="10247" max="10498" width="9.140625" style="1"/>
    <col min="10499" max="10499" width="96.28515625" style="1" customWidth="1"/>
    <col min="10500" max="10500" width="33" style="1" customWidth="1"/>
    <col min="10501" max="10501" width="22.5703125" style="1" customWidth="1"/>
    <col min="10502" max="10502" width="13.42578125" style="1" bestFit="1" customWidth="1"/>
    <col min="10503" max="10754" width="9.140625" style="1"/>
    <col min="10755" max="10755" width="96.28515625" style="1" customWidth="1"/>
    <col min="10756" max="10756" width="33" style="1" customWidth="1"/>
    <col min="10757" max="10757" width="22.5703125" style="1" customWidth="1"/>
    <col min="10758" max="10758" width="13.42578125" style="1" bestFit="1" customWidth="1"/>
    <col min="10759" max="11010" width="9.140625" style="1"/>
    <col min="11011" max="11011" width="96.28515625" style="1" customWidth="1"/>
    <col min="11012" max="11012" width="33" style="1" customWidth="1"/>
    <col min="11013" max="11013" width="22.5703125" style="1" customWidth="1"/>
    <col min="11014" max="11014" width="13.42578125" style="1" bestFit="1" customWidth="1"/>
    <col min="11015" max="11266" width="9.140625" style="1"/>
    <col min="11267" max="11267" width="96.28515625" style="1" customWidth="1"/>
    <col min="11268" max="11268" width="33" style="1" customWidth="1"/>
    <col min="11269" max="11269" width="22.5703125" style="1" customWidth="1"/>
    <col min="11270" max="11270" width="13.42578125" style="1" bestFit="1" customWidth="1"/>
    <col min="11271" max="11522" width="9.140625" style="1"/>
    <col min="11523" max="11523" width="96.28515625" style="1" customWidth="1"/>
    <col min="11524" max="11524" width="33" style="1" customWidth="1"/>
    <col min="11525" max="11525" width="22.5703125" style="1" customWidth="1"/>
    <col min="11526" max="11526" width="13.42578125" style="1" bestFit="1" customWidth="1"/>
    <col min="11527" max="11778" width="9.140625" style="1"/>
    <col min="11779" max="11779" width="96.28515625" style="1" customWidth="1"/>
    <col min="11780" max="11780" width="33" style="1" customWidth="1"/>
    <col min="11781" max="11781" width="22.5703125" style="1" customWidth="1"/>
    <col min="11782" max="11782" width="13.42578125" style="1" bestFit="1" customWidth="1"/>
    <col min="11783" max="12034" width="9.140625" style="1"/>
    <col min="12035" max="12035" width="96.28515625" style="1" customWidth="1"/>
    <col min="12036" max="12036" width="33" style="1" customWidth="1"/>
    <col min="12037" max="12037" width="22.5703125" style="1" customWidth="1"/>
    <col min="12038" max="12038" width="13.42578125" style="1" bestFit="1" customWidth="1"/>
    <col min="12039" max="12290" width="9.140625" style="1"/>
    <col min="12291" max="12291" width="96.28515625" style="1" customWidth="1"/>
    <col min="12292" max="12292" width="33" style="1" customWidth="1"/>
    <col min="12293" max="12293" width="22.5703125" style="1" customWidth="1"/>
    <col min="12294" max="12294" width="13.42578125" style="1" bestFit="1" customWidth="1"/>
    <col min="12295" max="12546" width="9.140625" style="1"/>
    <col min="12547" max="12547" width="96.28515625" style="1" customWidth="1"/>
    <col min="12548" max="12548" width="33" style="1" customWidth="1"/>
    <col min="12549" max="12549" width="22.5703125" style="1" customWidth="1"/>
    <col min="12550" max="12550" width="13.42578125" style="1" bestFit="1" customWidth="1"/>
    <col min="12551" max="12802" width="9.140625" style="1"/>
    <col min="12803" max="12803" width="96.28515625" style="1" customWidth="1"/>
    <col min="12804" max="12804" width="33" style="1" customWidth="1"/>
    <col min="12805" max="12805" width="22.5703125" style="1" customWidth="1"/>
    <col min="12806" max="12806" width="13.42578125" style="1" bestFit="1" customWidth="1"/>
    <col min="12807" max="13058" width="9.140625" style="1"/>
    <col min="13059" max="13059" width="96.28515625" style="1" customWidth="1"/>
    <col min="13060" max="13060" width="33" style="1" customWidth="1"/>
    <col min="13061" max="13061" width="22.5703125" style="1" customWidth="1"/>
    <col min="13062" max="13062" width="13.42578125" style="1" bestFit="1" customWidth="1"/>
    <col min="13063" max="13314" width="9.140625" style="1"/>
    <col min="13315" max="13315" width="96.28515625" style="1" customWidth="1"/>
    <col min="13316" max="13316" width="33" style="1" customWidth="1"/>
    <col min="13317" max="13317" width="22.5703125" style="1" customWidth="1"/>
    <col min="13318" max="13318" width="13.42578125" style="1" bestFit="1" customWidth="1"/>
    <col min="13319" max="13570" width="9.140625" style="1"/>
    <col min="13571" max="13571" width="96.28515625" style="1" customWidth="1"/>
    <col min="13572" max="13572" width="33" style="1" customWidth="1"/>
    <col min="13573" max="13573" width="22.5703125" style="1" customWidth="1"/>
    <col min="13574" max="13574" width="13.42578125" style="1" bestFit="1" customWidth="1"/>
    <col min="13575" max="13826" width="9.140625" style="1"/>
    <col min="13827" max="13827" width="96.28515625" style="1" customWidth="1"/>
    <col min="13828" max="13828" width="33" style="1" customWidth="1"/>
    <col min="13829" max="13829" width="22.5703125" style="1" customWidth="1"/>
    <col min="13830" max="13830" width="13.42578125" style="1" bestFit="1" customWidth="1"/>
    <col min="13831" max="14082" width="9.140625" style="1"/>
    <col min="14083" max="14083" width="96.28515625" style="1" customWidth="1"/>
    <col min="14084" max="14084" width="33" style="1" customWidth="1"/>
    <col min="14085" max="14085" width="22.5703125" style="1" customWidth="1"/>
    <col min="14086" max="14086" width="13.42578125" style="1" bestFit="1" customWidth="1"/>
    <col min="14087" max="14338" width="9.140625" style="1"/>
    <col min="14339" max="14339" width="96.28515625" style="1" customWidth="1"/>
    <col min="14340" max="14340" width="33" style="1" customWidth="1"/>
    <col min="14341" max="14341" width="22.5703125" style="1" customWidth="1"/>
    <col min="14342" max="14342" width="13.42578125" style="1" bestFit="1" customWidth="1"/>
    <col min="14343" max="14594" width="9.140625" style="1"/>
    <col min="14595" max="14595" width="96.28515625" style="1" customWidth="1"/>
    <col min="14596" max="14596" width="33" style="1" customWidth="1"/>
    <col min="14597" max="14597" width="22.5703125" style="1" customWidth="1"/>
    <col min="14598" max="14598" width="13.42578125" style="1" bestFit="1" customWidth="1"/>
    <col min="14599" max="14850" width="9.140625" style="1"/>
    <col min="14851" max="14851" width="96.28515625" style="1" customWidth="1"/>
    <col min="14852" max="14852" width="33" style="1" customWidth="1"/>
    <col min="14853" max="14853" width="22.5703125" style="1" customWidth="1"/>
    <col min="14854" max="14854" width="13.42578125" style="1" bestFit="1" customWidth="1"/>
    <col min="14855" max="15106" width="9.140625" style="1"/>
    <col min="15107" max="15107" width="96.28515625" style="1" customWidth="1"/>
    <col min="15108" max="15108" width="33" style="1" customWidth="1"/>
    <col min="15109" max="15109" width="22.5703125" style="1" customWidth="1"/>
    <col min="15110" max="15110" width="13.42578125" style="1" bestFit="1" customWidth="1"/>
    <col min="15111" max="15362" width="9.140625" style="1"/>
    <col min="15363" max="15363" width="96.28515625" style="1" customWidth="1"/>
    <col min="15364" max="15364" width="33" style="1" customWidth="1"/>
    <col min="15365" max="15365" width="22.5703125" style="1" customWidth="1"/>
    <col min="15366" max="15366" width="13.42578125" style="1" bestFit="1" customWidth="1"/>
    <col min="15367" max="15618" width="9.140625" style="1"/>
    <col min="15619" max="15619" width="96.28515625" style="1" customWidth="1"/>
    <col min="15620" max="15620" width="33" style="1" customWidth="1"/>
    <col min="15621" max="15621" width="22.5703125" style="1" customWidth="1"/>
    <col min="15622" max="15622" width="13.42578125" style="1" bestFit="1" customWidth="1"/>
    <col min="15623" max="15874" width="9.140625" style="1"/>
    <col min="15875" max="15875" width="96.28515625" style="1" customWidth="1"/>
    <col min="15876" max="15876" width="33" style="1" customWidth="1"/>
    <col min="15877" max="15877" width="22.5703125" style="1" customWidth="1"/>
    <col min="15878" max="15878" width="13.42578125" style="1" bestFit="1" customWidth="1"/>
    <col min="15879" max="16130" width="9.140625" style="1"/>
    <col min="16131" max="16131" width="96.28515625" style="1" customWidth="1"/>
    <col min="16132" max="16132" width="33" style="1" customWidth="1"/>
    <col min="16133" max="16133" width="22.5703125" style="1" customWidth="1"/>
    <col min="16134" max="16134" width="13.42578125" style="1" bestFit="1" customWidth="1"/>
    <col min="16135" max="16384" width="9.140625" style="1"/>
  </cols>
  <sheetData>
    <row r="1" spans="1:14" s="39" customFormat="1" ht="48.75" customHeight="1" x14ac:dyDescent="0.25">
      <c r="A1" s="792" t="s">
        <v>53</v>
      </c>
      <c r="B1" s="792"/>
      <c r="C1" s="792"/>
      <c r="D1" s="699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91" customFormat="1" ht="23.25" x14ac:dyDescent="0.35">
      <c r="A2" s="388"/>
      <c r="B2" s="389" t="s">
        <v>54</v>
      </c>
      <c r="C2" s="390"/>
      <c r="D2" s="690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1:14" ht="23.25" x14ac:dyDescent="0.35">
      <c r="A3" s="40"/>
      <c r="B3" s="42" t="s">
        <v>55</v>
      </c>
      <c r="C3" s="363"/>
      <c r="D3" s="681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23.25" x14ac:dyDescent="0.35">
      <c r="A4" s="671"/>
      <c r="B4" s="368" t="s">
        <v>56</v>
      </c>
      <c r="C4" s="655" t="s">
        <v>57</v>
      </c>
      <c r="D4" s="668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23.25" customHeight="1" x14ac:dyDescent="0.35">
      <c r="A5" s="800" t="s">
        <v>58</v>
      </c>
      <c r="B5" s="392" t="s">
        <v>1062</v>
      </c>
      <c r="C5" s="656">
        <v>2656409</v>
      </c>
      <c r="D5" s="797" t="s">
        <v>1063</v>
      </c>
      <c r="E5" s="40"/>
      <c r="F5" s="43">
        <f>SUM(C4:C6)</f>
        <v>3511407</v>
      </c>
      <c r="G5" s="40"/>
      <c r="H5" s="40"/>
      <c r="I5" s="40"/>
      <c r="J5" s="40"/>
      <c r="K5" s="40"/>
      <c r="L5" s="40"/>
      <c r="M5" s="40"/>
      <c r="N5" s="40"/>
    </row>
    <row r="6" spans="1:14" ht="23.45" customHeight="1" x14ac:dyDescent="0.35">
      <c r="A6" s="801"/>
      <c r="B6" s="393" t="s">
        <v>1064</v>
      </c>
      <c r="C6" s="656">
        <v>854998</v>
      </c>
      <c r="D6" s="798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23.25" x14ac:dyDescent="0.35">
      <c r="A7" s="801"/>
      <c r="B7" s="44" t="s">
        <v>1065</v>
      </c>
      <c r="C7" s="656">
        <v>2616914</v>
      </c>
      <c r="D7" s="798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23.25" x14ac:dyDescent="0.35">
      <c r="A8" s="801"/>
      <c r="B8" s="44" t="s">
        <v>1066</v>
      </c>
      <c r="C8" s="656">
        <v>4751500</v>
      </c>
      <c r="D8" s="798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46.5" x14ac:dyDescent="0.35">
      <c r="A9" s="801"/>
      <c r="B9" s="44" t="s">
        <v>1067</v>
      </c>
      <c r="C9" s="656">
        <v>1000000</v>
      </c>
      <c r="D9" s="798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24.75" customHeight="1" x14ac:dyDescent="0.35">
      <c r="A10" s="801"/>
      <c r="B10" s="44" t="s">
        <v>1068</v>
      </c>
      <c r="C10" s="656">
        <v>4500</v>
      </c>
      <c r="D10" s="798"/>
      <c r="E10" s="40"/>
      <c r="F10" s="43">
        <f>+C6+C7+C8</f>
        <v>8223412</v>
      </c>
      <c r="G10" s="40"/>
      <c r="H10" s="40"/>
      <c r="I10" s="40"/>
      <c r="J10" s="40"/>
      <c r="K10" s="40"/>
      <c r="L10" s="40"/>
      <c r="M10" s="40"/>
      <c r="N10" s="40"/>
    </row>
    <row r="11" spans="1:14" ht="23.25" x14ac:dyDescent="0.35">
      <c r="A11" s="801"/>
      <c r="B11" s="44" t="s">
        <v>1069</v>
      </c>
      <c r="C11" s="656">
        <v>200000</v>
      </c>
      <c r="D11" s="798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23.25" x14ac:dyDescent="0.35">
      <c r="A12" s="801"/>
      <c r="B12" s="44" t="s">
        <v>1070</v>
      </c>
      <c r="C12" s="656">
        <v>312420</v>
      </c>
      <c r="D12" s="798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23.25" x14ac:dyDescent="0.35">
      <c r="A13" s="801"/>
      <c r="B13" s="44" t="s">
        <v>1071</v>
      </c>
      <c r="C13" s="656">
        <v>80000</v>
      </c>
      <c r="D13" s="798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23.25" x14ac:dyDescent="0.35">
      <c r="A14" s="801"/>
      <c r="B14" s="44" t="s">
        <v>1072</v>
      </c>
      <c r="C14" s="656">
        <v>15582</v>
      </c>
      <c r="D14" s="798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23.25" x14ac:dyDescent="0.35">
      <c r="A15" s="801"/>
      <c r="B15" s="44" t="s">
        <v>1073</v>
      </c>
      <c r="C15" s="656">
        <v>100000</v>
      </c>
      <c r="D15" s="798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23.25" x14ac:dyDescent="0.35">
      <c r="A16" s="801"/>
      <c r="B16" s="44" t="s">
        <v>1074</v>
      </c>
      <c r="C16" s="656">
        <v>9209</v>
      </c>
      <c r="D16" s="798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22.5" customHeight="1" x14ac:dyDescent="0.35">
      <c r="A17" s="801"/>
      <c r="B17" s="392" t="s">
        <v>1075</v>
      </c>
      <c r="C17" s="656">
        <v>76200</v>
      </c>
      <c r="D17" s="798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22.5" customHeight="1" x14ac:dyDescent="0.35">
      <c r="A18" s="801"/>
      <c r="B18" s="392" t="s">
        <v>1076</v>
      </c>
      <c r="C18" s="656">
        <v>141005</v>
      </c>
      <c r="D18" s="798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24" customHeight="1" x14ac:dyDescent="0.35">
      <c r="A19" s="801"/>
      <c r="B19" s="44" t="s">
        <v>1077</v>
      </c>
      <c r="C19" s="656">
        <v>80000</v>
      </c>
      <c r="D19" s="798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24" customHeight="1" x14ac:dyDescent="0.35">
      <c r="A20" s="801"/>
      <c r="B20" s="44" t="s">
        <v>1078</v>
      </c>
      <c r="C20" s="656">
        <v>16667</v>
      </c>
      <c r="D20" s="798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24" customHeight="1" x14ac:dyDescent="0.35">
      <c r="A21" s="801"/>
      <c r="B21" s="44" t="s">
        <v>1079</v>
      </c>
      <c r="C21" s="656">
        <v>466674</v>
      </c>
      <c r="D21" s="798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23.25" x14ac:dyDescent="0.35">
      <c r="A22" s="801"/>
      <c r="B22" s="44" t="s">
        <v>1080</v>
      </c>
      <c r="C22" s="656">
        <v>36222</v>
      </c>
      <c r="D22" s="798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23.25" x14ac:dyDescent="0.35">
      <c r="A23" s="801"/>
      <c r="B23" s="44" t="s">
        <v>1081</v>
      </c>
      <c r="C23" s="656">
        <v>278381</v>
      </c>
      <c r="D23" s="798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23.25" x14ac:dyDescent="0.35">
      <c r="A24" s="801"/>
      <c r="B24" s="44" t="s">
        <v>1082</v>
      </c>
      <c r="C24" s="656">
        <v>89958</v>
      </c>
      <c r="D24" s="798"/>
      <c r="E24" s="40"/>
      <c r="F24" s="40" t="s">
        <v>1033</v>
      </c>
      <c r="G24" s="43" t="e">
        <f>+E30+#REF!+C102+C117+#REF!+#REF!+C181</f>
        <v>#REF!</v>
      </c>
      <c r="H24" s="40"/>
      <c r="I24" s="40"/>
      <c r="J24" s="40"/>
      <c r="K24" s="40"/>
      <c r="L24" s="40"/>
      <c r="M24" s="40"/>
      <c r="N24" s="40"/>
    </row>
    <row r="25" spans="1:14" ht="23.25" x14ac:dyDescent="0.35">
      <c r="A25" s="801"/>
      <c r="B25" s="44" t="s">
        <v>1083</v>
      </c>
      <c r="C25" s="656">
        <v>21062</v>
      </c>
      <c r="D25" s="798"/>
      <c r="E25" s="40"/>
      <c r="F25" s="40" t="s">
        <v>1035</v>
      </c>
      <c r="G25" s="43">
        <f>+C81+C95+C97+C98+C99+C100+C101+C103+C104+C105+C235</f>
        <v>36472040</v>
      </c>
      <c r="H25" s="40"/>
      <c r="I25" s="40"/>
      <c r="J25" s="40"/>
      <c r="K25" s="40"/>
      <c r="L25" s="40"/>
      <c r="M25" s="40"/>
      <c r="N25" s="40"/>
    </row>
    <row r="26" spans="1:14" ht="23.25" customHeight="1" x14ac:dyDescent="0.35">
      <c r="A26" s="801"/>
      <c r="B26" s="44" t="s">
        <v>1084</v>
      </c>
      <c r="C26" s="656">
        <v>2295</v>
      </c>
      <c r="D26" s="798"/>
      <c r="E26" s="40"/>
      <c r="F26" s="40" t="s">
        <v>1034</v>
      </c>
      <c r="G26" s="43">
        <f>+'[1]13.d.sz.m.Szabad maradvány'!D74</f>
        <v>3756000</v>
      </c>
      <c r="H26" s="40"/>
      <c r="I26" s="40"/>
      <c r="J26" s="40"/>
      <c r="K26" s="40"/>
      <c r="L26" s="40"/>
      <c r="M26" s="40"/>
      <c r="N26" s="40"/>
    </row>
    <row r="27" spans="1:14" ht="23.25" x14ac:dyDescent="0.35">
      <c r="A27" s="801"/>
      <c r="B27" s="44" t="s">
        <v>1085</v>
      </c>
      <c r="C27" s="656">
        <v>510981</v>
      </c>
      <c r="D27" s="798"/>
      <c r="E27" s="40"/>
      <c r="F27" s="40" t="s">
        <v>1036</v>
      </c>
      <c r="G27" s="43" t="e">
        <f>SUM(G24:G26)</f>
        <v>#REF!</v>
      </c>
      <c r="H27" s="40"/>
      <c r="I27" s="40"/>
      <c r="J27" s="40"/>
      <c r="K27" s="40"/>
      <c r="L27" s="40"/>
      <c r="M27" s="40"/>
      <c r="N27" s="40"/>
    </row>
    <row r="28" spans="1:14" ht="23.25" x14ac:dyDescent="0.35">
      <c r="A28" s="801"/>
      <c r="B28" s="44" t="s">
        <v>1086</v>
      </c>
      <c r="C28" s="656">
        <v>64034</v>
      </c>
      <c r="D28" s="798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23.25" x14ac:dyDescent="0.35">
      <c r="A29" s="801"/>
      <c r="B29" s="44" t="s">
        <v>1087</v>
      </c>
      <c r="C29" s="656">
        <v>367450</v>
      </c>
      <c r="D29" s="798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23.25" x14ac:dyDescent="0.35">
      <c r="A30" s="801"/>
      <c r="B30" s="44" t="s">
        <v>1088</v>
      </c>
      <c r="C30" s="656">
        <v>52916</v>
      </c>
      <c r="D30" s="798"/>
      <c r="E30" s="43">
        <f>SUM(C6:C30)</f>
        <v>12148968</v>
      </c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23.25" x14ac:dyDescent="0.35">
      <c r="A31" s="801"/>
      <c r="B31" s="44" t="s">
        <v>1089</v>
      </c>
      <c r="C31" s="656">
        <v>42102</v>
      </c>
      <c r="D31" s="798"/>
      <c r="E31" s="43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23.25" x14ac:dyDescent="0.35">
      <c r="A32" s="801"/>
      <c r="B32" s="44" t="s">
        <v>1090</v>
      </c>
      <c r="C32" s="656">
        <v>47347</v>
      </c>
      <c r="D32" s="798"/>
      <c r="E32" s="4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23.25" x14ac:dyDescent="0.35">
      <c r="A33" s="801"/>
      <c r="B33" s="44" t="s">
        <v>1090</v>
      </c>
      <c r="C33" s="656">
        <v>75030</v>
      </c>
      <c r="D33" s="798"/>
      <c r="E33" s="43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23.25" x14ac:dyDescent="0.35">
      <c r="A34" s="801"/>
      <c r="B34" s="44" t="s">
        <v>1091</v>
      </c>
      <c r="C34" s="656">
        <v>141390</v>
      </c>
      <c r="D34" s="798"/>
      <c r="E34" s="43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23.25" x14ac:dyDescent="0.35">
      <c r="A35" s="801"/>
      <c r="B35" s="44" t="s">
        <v>1091</v>
      </c>
      <c r="C35" s="656">
        <v>65315</v>
      </c>
      <c r="D35" s="798"/>
      <c r="E35" s="43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23.25" customHeight="1" x14ac:dyDescent="0.35">
      <c r="A36" s="801"/>
      <c r="B36" s="44" t="s">
        <v>1092</v>
      </c>
      <c r="C36" s="656">
        <v>60854</v>
      </c>
      <c r="D36" s="798"/>
      <c r="E36" s="43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23.25" x14ac:dyDescent="0.35">
      <c r="A37" s="801"/>
      <c r="B37" s="44" t="s">
        <v>1093</v>
      </c>
      <c r="C37" s="656">
        <v>42124</v>
      </c>
      <c r="D37" s="798"/>
      <c r="E37" s="43"/>
      <c r="F37" s="40"/>
      <c r="G37" s="40"/>
      <c r="H37" s="40"/>
      <c r="I37" s="40"/>
      <c r="J37" s="40"/>
      <c r="K37" s="40"/>
      <c r="L37" s="40"/>
      <c r="M37" s="40"/>
      <c r="N37" s="40"/>
    </row>
    <row r="38" spans="1:14" ht="23.25" x14ac:dyDescent="0.35">
      <c r="A38" s="801"/>
      <c r="B38" s="44" t="s">
        <v>1094</v>
      </c>
      <c r="C38" s="656">
        <v>677466</v>
      </c>
      <c r="D38" s="798"/>
      <c r="E38" s="43"/>
      <c r="F38" s="40"/>
      <c r="G38" s="40"/>
      <c r="H38" s="40"/>
      <c r="I38" s="40"/>
      <c r="J38" s="40"/>
      <c r="K38" s="40"/>
      <c r="L38" s="40"/>
      <c r="M38" s="40"/>
      <c r="N38" s="40"/>
    </row>
    <row r="39" spans="1:14" ht="23.25" x14ac:dyDescent="0.35">
      <c r="A39" s="801"/>
      <c r="B39" s="44" t="s">
        <v>1095</v>
      </c>
      <c r="C39" s="656">
        <v>100542</v>
      </c>
      <c r="D39" s="798"/>
      <c r="E39" s="43"/>
      <c r="F39" s="40"/>
      <c r="G39" s="40"/>
      <c r="H39" s="40"/>
      <c r="I39" s="40"/>
      <c r="J39" s="40"/>
      <c r="K39" s="40"/>
      <c r="L39" s="40"/>
      <c r="M39" s="40"/>
      <c r="N39" s="40"/>
    </row>
    <row r="40" spans="1:14" ht="23.25" x14ac:dyDescent="0.35">
      <c r="A40" s="801"/>
      <c r="B40" s="44" t="s">
        <v>1096</v>
      </c>
      <c r="C40" s="656">
        <v>158750</v>
      </c>
      <c r="D40" s="798"/>
      <c r="E40" s="43"/>
      <c r="F40" s="40"/>
      <c r="G40" s="40"/>
      <c r="H40" s="40"/>
      <c r="I40" s="40"/>
      <c r="J40" s="40"/>
      <c r="K40" s="40"/>
      <c r="L40" s="40"/>
      <c r="M40" s="40"/>
      <c r="N40" s="40"/>
    </row>
    <row r="41" spans="1:14" ht="23.25" x14ac:dyDescent="0.35">
      <c r="A41" s="801"/>
      <c r="B41" s="44" t="s">
        <v>1097</v>
      </c>
      <c r="C41" s="656">
        <v>21062</v>
      </c>
      <c r="D41" s="798"/>
      <c r="E41" s="43"/>
      <c r="F41" s="40"/>
      <c r="G41" s="40"/>
      <c r="H41" s="40"/>
      <c r="I41" s="40"/>
      <c r="J41" s="40"/>
      <c r="K41" s="40"/>
      <c r="L41" s="40"/>
      <c r="M41" s="40"/>
      <c r="N41" s="40"/>
    </row>
    <row r="42" spans="1:14" ht="23.25" customHeight="1" x14ac:dyDescent="0.35">
      <c r="A42" s="801"/>
      <c r="B42" s="44" t="s">
        <v>1098</v>
      </c>
      <c r="C42" s="656">
        <v>2296</v>
      </c>
      <c r="D42" s="798"/>
      <c r="E42" s="43"/>
      <c r="F42" s="40"/>
      <c r="G42" s="40"/>
      <c r="H42" s="40"/>
      <c r="I42" s="40"/>
      <c r="J42" s="40"/>
      <c r="K42" s="40"/>
      <c r="L42" s="40"/>
      <c r="M42" s="40"/>
      <c r="N42" s="40"/>
    </row>
    <row r="43" spans="1:14" ht="23.25" x14ac:dyDescent="0.35">
      <c r="A43" s="801"/>
      <c r="B43" s="44" t="s">
        <v>1099</v>
      </c>
      <c r="C43" s="656">
        <v>64034</v>
      </c>
      <c r="D43" s="798"/>
      <c r="E43" s="43"/>
      <c r="F43" s="40"/>
      <c r="G43" s="40"/>
      <c r="H43" s="40"/>
      <c r="I43" s="40"/>
      <c r="J43" s="40"/>
      <c r="K43" s="40"/>
      <c r="L43" s="40"/>
      <c r="M43" s="40"/>
      <c r="N43" s="40"/>
    </row>
    <row r="44" spans="1:14" ht="23.25" x14ac:dyDescent="0.35">
      <c r="A44" s="801"/>
      <c r="B44" s="44" t="s">
        <v>1100</v>
      </c>
      <c r="C44" s="656">
        <v>367451</v>
      </c>
      <c r="D44" s="798"/>
      <c r="E44" s="43"/>
      <c r="F44" s="40"/>
      <c r="G44" s="40"/>
      <c r="H44" s="40"/>
      <c r="I44" s="40"/>
      <c r="J44" s="40"/>
      <c r="K44" s="40"/>
      <c r="L44" s="40"/>
      <c r="M44" s="40"/>
      <c r="N44" s="40"/>
    </row>
    <row r="45" spans="1:14" ht="23.25" x14ac:dyDescent="0.35">
      <c r="A45" s="801"/>
      <c r="B45" s="44" t="s">
        <v>1101</v>
      </c>
      <c r="C45" s="656">
        <v>52917</v>
      </c>
      <c r="D45" s="798"/>
      <c r="E45" s="43"/>
      <c r="F45" s="40"/>
      <c r="G45" s="40"/>
      <c r="H45" s="40"/>
      <c r="I45" s="40"/>
      <c r="J45" s="40"/>
      <c r="K45" s="40"/>
      <c r="L45" s="40"/>
      <c r="M45" s="40"/>
      <c r="N45" s="40"/>
    </row>
    <row r="46" spans="1:14" ht="23.25" x14ac:dyDescent="0.35">
      <c r="A46" s="801"/>
      <c r="B46" s="44" t="s">
        <v>1089</v>
      </c>
      <c r="C46" s="656">
        <v>42102</v>
      </c>
      <c r="D46" s="798"/>
      <c r="E46" s="43"/>
      <c r="F46" s="40"/>
      <c r="G46" s="40"/>
      <c r="H46" s="40"/>
      <c r="I46" s="40"/>
      <c r="J46" s="40"/>
      <c r="K46" s="40"/>
      <c r="L46" s="40"/>
      <c r="M46" s="40"/>
      <c r="N46" s="40"/>
    </row>
    <row r="47" spans="1:14" ht="23.25" x14ac:dyDescent="0.35">
      <c r="A47" s="801"/>
      <c r="B47" s="44" t="s">
        <v>1090</v>
      </c>
      <c r="C47" s="656">
        <v>47347</v>
      </c>
      <c r="D47" s="798"/>
      <c r="E47" s="43"/>
      <c r="F47" s="40"/>
      <c r="G47" s="40"/>
      <c r="H47" s="40"/>
      <c r="I47" s="40"/>
      <c r="J47" s="40"/>
      <c r="K47" s="40"/>
      <c r="L47" s="40"/>
      <c r="M47" s="40"/>
      <c r="N47" s="40"/>
    </row>
    <row r="48" spans="1:14" ht="23.25" x14ac:dyDescent="0.35">
      <c r="A48" s="801"/>
      <c r="B48" s="44" t="s">
        <v>1090</v>
      </c>
      <c r="C48" s="656">
        <v>75031</v>
      </c>
      <c r="D48" s="798"/>
      <c r="E48" s="43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23.25" x14ac:dyDescent="0.35">
      <c r="A49" s="801"/>
      <c r="B49" s="44" t="s">
        <v>1091</v>
      </c>
      <c r="C49" s="656">
        <v>141390</v>
      </c>
      <c r="D49" s="798"/>
      <c r="E49" s="43"/>
      <c r="F49" s="40"/>
      <c r="G49" s="40"/>
      <c r="H49" s="40"/>
      <c r="I49" s="40"/>
      <c r="J49" s="40"/>
      <c r="K49" s="40"/>
      <c r="L49" s="40"/>
      <c r="M49" s="40"/>
      <c r="N49" s="40"/>
    </row>
    <row r="50" spans="1:14" ht="23.25" x14ac:dyDescent="0.35">
      <c r="A50" s="801"/>
      <c r="B50" s="44" t="s">
        <v>1091</v>
      </c>
      <c r="C50" s="656">
        <v>65315</v>
      </c>
      <c r="D50" s="798"/>
      <c r="E50" s="43"/>
      <c r="F50" s="40"/>
      <c r="G50" s="40"/>
      <c r="H50" s="40"/>
      <c r="I50" s="40"/>
      <c r="J50" s="40"/>
      <c r="K50" s="40"/>
      <c r="L50" s="40"/>
      <c r="M50" s="40"/>
      <c r="N50" s="40"/>
    </row>
    <row r="51" spans="1:14" ht="23.25" customHeight="1" x14ac:dyDescent="0.35">
      <c r="A51" s="801"/>
      <c r="B51" s="44" t="s">
        <v>1092</v>
      </c>
      <c r="C51" s="656">
        <v>60854</v>
      </c>
      <c r="D51" s="798"/>
      <c r="E51" s="43"/>
      <c r="F51" s="40"/>
      <c r="G51" s="40"/>
      <c r="H51" s="40"/>
      <c r="I51" s="40"/>
      <c r="J51" s="40"/>
      <c r="K51" s="40"/>
      <c r="L51" s="40"/>
      <c r="M51" s="40"/>
      <c r="N51" s="40"/>
    </row>
    <row r="52" spans="1:14" ht="23.25" x14ac:dyDescent="0.35">
      <c r="A52" s="801"/>
      <c r="B52" s="44" t="s">
        <v>1102</v>
      </c>
      <c r="C52" s="656">
        <v>26833</v>
      </c>
      <c r="D52" s="798"/>
      <c r="E52" s="43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23.25" x14ac:dyDescent="0.35">
      <c r="A53" s="801"/>
      <c r="B53" s="44" t="s">
        <v>1103</v>
      </c>
      <c r="C53" s="656">
        <v>87640</v>
      </c>
      <c r="D53" s="798"/>
      <c r="E53" s="43"/>
      <c r="F53" s="40"/>
      <c r="G53" s="40"/>
      <c r="H53" s="40"/>
      <c r="I53" s="40"/>
      <c r="J53" s="40"/>
      <c r="K53" s="40"/>
      <c r="L53" s="40"/>
      <c r="M53" s="40"/>
      <c r="N53" s="40"/>
    </row>
    <row r="54" spans="1:14" ht="23.25" x14ac:dyDescent="0.35">
      <c r="A54" s="801"/>
      <c r="B54" s="44" t="s">
        <v>1104</v>
      </c>
      <c r="C54" s="656">
        <v>485789</v>
      </c>
      <c r="D54" s="798"/>
      <c r="E54" s="43"/>
      <c r="F54" s="40"/>
      <c r="G54" s="40"/>
      <c r="H54" s="40"/>
      <c r="I54" s="40"/>
      <c r="J54" s="40"/>
      <c r="K54" s="40"/>
      <c r="L54" s="40"/>
      <c r="M54" s="40"/>
      <c r="N54" s="40"/>
    </row>
    <row r="55" spans="1:14" ht="46.5" x14ac:dyDescent="0.35">
      <c r="A55" s="801"/>
      <c r="B55" s="44" t="s">
        <v>1105</v>
      </c>
      <c r="C55" s="656">
        <v>1294</v>
      </c>
      <c r="D55" s="798"/>
      <c r="E55" s="43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23.25" x14ac:dyDescent="0.35">
      <c r="A56" s="801"/>
      <c r="B56" s="44" t="s">
        <v>1106</v>
      </c>
      <c r="C56" s="656">
        <v>11500</v>
      </c>
      <c r="D56" s="798"/>
      <c r="E56" s="43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23.25" x14ac:dyDescent="0.35">
      <c r="A57" s="801"/>
      <c r="B57" s="44" t="s">
        <v>1107</v>
      </c>
      <c r="C57" s="656">
        <v>37560</v>
      </c>
      <c r="D57" s="798"/>
      <c r="E57" s="43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23.25" x14ac:dyDescent="0.35">
      <c r="A58" s="801"/>
      <c r="B58" s="44" t="s">
        <v>1108</v>
      </c>
      <c r="C58" s="656">
        <v>208195</v>
      </c>
      <c r="D58" s="798"/>
      <c r="E58" s="43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23.25" x14ac:dyDescent="0.35">
      <c r="A59" s="801"/>
      <c r="B59" s="44" t="s">
        <v>1109</v>
      </c>
      <c r="C59" s="656">
        <v>2587</v>
      </c>
      <c r="D59" s="798"/>
      <c r="E59" s="43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23.25" x14ac:dyDescent="0.35">
      <c r="A60" s="801"/>
      <c r="B60" s="44" t="s">
        <v>1110</v>
      </c>
      <c r="C60" s="656">
        <v>19573</v>
      </c>
      <c r="D60" s="798"/>
      <c r="E60" s="43"/>
      <c r="F60" s="40"/>
      <c r="G60" s="40"/>
      <c r="H60" s="40"/>
      <c r="I60" s="40"/>
      <c r="J60" s="40"/>
      <c r="K60" s="40"/>
      <c r="L60" s="40"/>
      <c r="M60" s="40"/>
      <c r="N60" s="40"/>
    </row>
    <row r="61" spans="1:14" ht="23.25" x14ac:dyDescent="0.35">
      <c r="A61" s="801"/>
      <c r="B61" s="44" t="s">
        <v>1111</v>
      </c>
      <c r="C61" s="656">
        <v>997920</v>
      </c>
      <c r="D61" s="798"/>
      <c r="E61" s="43"/>
      <c r="F61" s="40"/>
      <c r="G61" s="40"/>
      <c r="H61" s="40"/>
      <c r="I61" s="40"/>
      <c r="J61" s="40"/>
      <c r="K61" s="40"/>
      <c r="L61" s="40"/>
      <c r="M61" s="40"/>
      <c r="N61" s="40"/>
    </row>
    <row r="62" spans="1:14" ht="23.25" x14ac:dyDescent="0.35">
      <c r="A62" s="801"/>
      <c r="B62" s="44" t="s">
        <v>1112</v>
      </c>
      <c r="C62" s="656">
        <v>21062</v>
      </c>
      <c r="D62" s="798"/>
      <c r="E62" s="43"/>
      <c r="F62" s="40"/>
      <c r="G62" s="40"/>
      <c r="H62" s="40"/>
      <c r="I62" s="40"/>
      <c r="J62" s="40"/>
      <c r="K62" s="40"/>
      <c r="L62" s="40"/>
      <c r="M62" s="40"/>
      <c r="N62" s="40"/>
    </row>
    <row r="63" spans="1:14" ht="23.25" x14ac:dyDescent="0.35">
      <c r="A63" s="801"/>
      <c r="B63" s="44" t="s">
        <v>1113</v>
      </c>
      <c r="C63" s="656">
        <v>271667</v>
      </c>
      <c r="D63" s="798"/>
      <c r="E63" s="43"/>
      <c r="F63" s="40"/>
      <c r="G63" s="40"/>
      <c r="H63" s="40"/>
      <c r="I63" s="40"/>
      <c r="J63" s="40"/>
      <c r="K63" s="40"/>
      <c r="L63" s="40"/>
      <c r="M63" s="40"/>
      <c r="N63" s="40"/>
    </row>
    <row r="64" spans="1:14" ht="23.25" x14ac:dyDescent="0.35">
      <c r="A64" s="801"/>
      <c r="B64" s="44" t="s">
        <v>1114</v>
      </c>
      <c r="C64" s="656">
        <v>116417</v>
      </c>
      <c r="D64" s="798"/>
      <c r="E64" s="43"/>
      <c r="F64" s="40"/>
      <c r="G64" s="40"/>
      <c r="H64" s="40"/>
      <c r="I64" s="40"/>
      <c r="J64" s="40"/>
      <c r="K64" s="40"/>
      <c r="L64" s="40"/>
      <c r="M64" s="40"/>
      <c r="N64" s="40"/>
    </row>
    <row r="65" spans="1:14" ht="23.25" x14ac:dyDescent="0.35">
      <c r="A65" s="772"/>
      <c r="B65" s="44" t="s">
        <v>1115</v>
      </c>
      <c r="C65" s="656">
        <v>87258</v>
      </c>
      <c r="D65" s="799"/>
      <c r="E65" s="43"/>
      <c r="F65" s="40"/>
      <c r="G65" s="40"/>
      <c r="H65" s="40"/>
      <c r="I65" s="40"/>
      <c r="J65" s="40"/>
      <c r="K65" s="40"/>
      <c r="L65" s="40"/>
      <c r="M65" s="40"/>
      <c r="N65" s="40"/>
    </row>
    <row r="66" spans="1:14" ht="23.25" x14ac:dyDescent="0.35">
      <c r="A66" s="800" t="s">
        <v>58</v>
      </c>
      <c r="B66" s="44" t="s">
        <v>1116</v>
      </c>
      <c r="C66" s="656">
        <v>825500</v>
      </c>
      <c r="D66" s="797" t="s">
        <v>1063</v>
      </c>
      <c r="E66" s="43"/>
      <c r="F66" s="40"/>
      <c r="G66" s="40"/>
      <c r="H66" s="40"/>
      <c r="I66" s="40"/>
      <c r="J66" s="40"/>
      <c r="K66" s="40"/>
      <c r="L66" s="40"/>
      <c r="M66" s="40"/>
      <c r="N66" s="40"/>
    </row>
    <row r="67" spans="1:14" ht="23.25" x14ac:dyDescent="0.35">
      <c r="A67" s="801"/>
      <c r="B67" s="44" t="s">
        <v>1117</v>
      </c>
      <c r="C67" s="656">
        <v>3791</v>
      </c>
      <c r="D67" s="798"/>
      <c r="E67" s="43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23.25" customHeight="1" x14ac:dyDescent="0.35">
      <c r="A68" s="801"/>
      <c r="B68" s="44" t="s">
        <v>1118</v>
      </c>
      <c r="C68" s="656">
        <v>2587</v>
      </c>
      <c r="D68" s="798"/>
      <c r="E68" s="43"/>
      <c r="F68" s="40"/>
      <c r="G68" s="40"/>
      <c r="H68" s="40"/>
      <c r="I68" s="40"/>
      <c r="J68" s="40"/>
      <c r="K68" s="40"/>
      <c r="L68" s="40"/>
      <c r="M68" s="40"/>
      <c r="N68" s="40"/>
    </row>
    <row r="69" spans="1:14" ht="46.5" x14ac:dyDescent="0.35">
      <c r="A69" s="801"/>
      <c r="B69" s="44" t="s">
        <v>1119</v>
      </c>
      <c r="C69" s="656">
        <v>142039</v>
      </c>
      <c r="D69" s="798"/>
      <c r="E69" s="43"/>
      <c r="F69" s="40"/>
      <c r="G69" s="40"/>
      <c r="H69" s="40"/>
      <c r="I69" s="40"/>
      <c r="J69" s="40"/>
      <c r="K69" s="40"/>
      <c r="L69" s="40"/>
      <c r="M69" s="40"/>
      <c r="N69" s="40"/>
    </row>
    <row r="70" spans="1:14" ht="46.5" x14ac:dyDescent="0.35">
      <c r="A70" s="801"/>
      <c r="B70" s="44" t="s">
        <v>1120</v>
      </c>
      <c r="C70" s="656">
        <v>70697</v>
      </c>
      <c r="D70" s="798"/>
      <c r="E70" s="43"/>
      <c r="F70" s="40"/>
      <c r="G70" s="40"/>
      <c r="H70" s="40"/>
      <c r="I70" s="40"/>
      <c r="J70" s="40"/>
      <c r="K70" s="40"/>
      <c r="L70" s="40"/>
      <c r="M70" s="40"/>
      <c r="N70" s="40"/>
    </row>
    <row r="71" spans="1:14" ht="46.5" x14ac:dyDescent="0.35">
      <c r="A71" s="801"/>
      <c r="B71" s="44" t="s">
        <v>1120</v>
      </c>
      <c r="C71" s="656">
        <v>32658</v>
      </c>
      <c r="D71" s="798"/>
      <c r="E71" s="43"/>
      <c r="F71" s="40"/>
      <c r="G71" s="40"/>
      <c r="H71" s="40"/>
      <c r="I71" s="40"/>
      <c r="J71" s="40"/>
      <c r="K71" s="40"/>
      <c r="L71" s="40"/>
      <c r="M71" s="40"/>
      <c r="N71" s="40"/>
    </row>
    <row r="72" spans="1:14" ht="23.25" x14ac:dyDescent="0.35">
      <c r="A72" s="801"/>
      <c r="B72" s="44" t="s">
        <v>1121</v>
      </c>
      <c r="C72" s="656">
        <v>12383</v>
      </c>
      <c r="D72" s="798"/>
      <c r="E72" s="43"/>
      <c r="F72" s="40"/>
      <c r="G72" s="40"/>
      <c r="H72" s="40"/>
      <c r="I72" s="40"/>
      <c r="J72" s="40"/>
      <c r="K72" s="40"/>
      <c r="L72" s="40"/>
      <c r="M72" s="40"/>
      <c r="N72" s="40"/>
    </row>
    <row r="73" spans="1:14" ht="23.25" x14ac:dyDescent="0.35">
      <c r="A73" s="801"/>
      <c r="B73" s="44" t="s">
        <v>1122</v>
      </c>
      <c r="C73" s="656">
        <v>68636</v>
      </c>
      <c r="D73" s="798"/>
      <c r="E73" s="43"/>
      <c r="F73" s="40"/>
      <c r="G73" s="40"/>
      <c r="H73" s="40"/>
      <c r="I73" s="40"/>
      <c r="J73" s="40"/>
      <c r="K73" s="40"/>
      <c r="L73" s="40"/>
      <c r="M73" s="40"/>
      <c r="N73" s="40"/>
    </row>
    <row r="74" spans="1:14" ht="23.25" x14ac:dyDescent="0.35">
      <c r="A74" s="801"/>
      <c r="B74" s="44" t="s">
        <v>1123</v>
      </c>
      <c r="C74" s="656">
        <v>17158</v>
      </c>
      <c r="D74" s="798"/>
      <c r="E74" s="43"/>
      <c r="F74" s="40"/>
      <c r="G74" s="40"/>
      <c r="H74" s="40"/>
      <c r="I74" s="40"/>
      <c r="J74" s="40"/>
      <c r="K74" s="40"/>
      <c r="L74" s="40"/>
      <c r="M74" s="40"/>
      <c r="N74" s="40"/>
    </row>
    <row r="75" spans="1:14" ht="23.25" x14ac:dyDescent="0.35">
      <c r="A75" s="801"/>
      <c r="B75" s="44" t="s">
        <v>1124</v>
      </c>
      <c r="C75" s="656">
        <v>490</v>
      </c>
      <c r="D75" s="798"/>
      <c r="E75" s="43"/>
      <c r="F75" s="40"/>
      <c r="G75" s="40"/>
      <c r="H75" s="40"/>
      <c r="I75" s="40"/>
      <c r="J75" s="40"/>
      <c r="K75" s="40"/>
      <c r="L75" s="40"/>
      <c r="M75" s="40"/>
      <c r="N75" s="40"/>
    </row>
    <row r="76" spans="1:14" ht="23.25" x14ac:dyDescent="0.35">
      <c r="A76" s="801"/>
      <c r="B76" s="44" t="s">
        <v>1125</v>
      </c>
      <c r="C76" s="656">
        <v>492</v>
      </c>
      <c r="D76" s="798"/>
      <c r="E76" s="43"/>
      <c r="F76" s="40"/>
      <c r="G76" s="40"/>
      <c r="H76" s="40"/>
      <c r="I76" s="40"/>
      <c r="J76" s="40"/>
      <c r="K76" s="40"/>
      <c r="L76" s="40"/>
      <c r="M76" s="40"/>
      <c r="N76" s="40"/>
    </row>
    <row r="77" spans="1:14" ht="23.25" x14ac:dyDescent="0.35">
      <c r="A77" s="801"/>
      <c r="B77" s="44" t="s">
        <v>1126</v>
      </c>
      <c r="C77" s="656">
        <v>1471</v>
      </c>
      <c r="D77" s="798"/>
      <c r="E77" s="43"/>
      <c r="F77" s="40"/>
      <c r="G77" s="40"/>
      <c r="H77" s="40"/>
      <c r="I77" s="40"/>
      <c r="J77" s="40"/>
      <c r="K77" s="40"/>
      <c r="L77" s="40"/>
      <c r="M77" s="40"/>
      <c r="N77" s="40"/>
    </row>
    <row r="78" spans="1:14" ht="23.25" x14ac:dyDescent="0.35">
      <c r="A78" s="801"/>
      <c r="B78" s="44" t="s">
        <v>1127</v>
      </c>
      <c r="C78" s="656">
        <v>490</v>
      </c>
      <c r="D78" s="798"/>
      <c r="E78" s="43"/>
      <c r="F78" s="40"/>
      <c r="G78" s="40"/>
      <c r="H78" s="40"/>
      <c r="I78" s="40"/>
      <c r="J78" s="40"/>
      <c r="K78" s="40"/>
      <c r="L78" s="40"/>
      <c r="M78" s="40"/>
      <c r="N78" s="40"/>
    </row>
    <row r="79" spans="1:14" ht="23.25" x14ac:dyDescent="0.35">
      <c r="A79" s="801"/>
      <c r="B79" s="44" t="s">
        <v>1128</v>
      </c>
      <c r="C79" s="656">
        <v>490</v>
      </c>
      <c r="D79" s="798"/>
      <c r="E79" s="43"/>
      <c r="F79" s="40"/>
      <c r="G79" s="40"/>
      <c r="H79" s="40"/>
      <c r="I79" s="40"/>
      <c r="J79" s="40"/>
      <c r="K79" s="40"/>
      <c r="L79" s="40"/>
      <c r="M79" s="40"/>
      <c r="N79" s="40"/>
    </row>
    <row r="80" spans="1:14" ht="23.25" x14ac:dyDescent="0.35">
      <c r="A80" s="801"/>
      <c r="B80" s="44" t="s">
        <v>1129</v>
      </c>
      <c r="C80" s="656">
        <v>1961</v>
      </c>
      <c r="D80" s="798"/>
      <c r="E80" s="43"/>
      <c r="F80" s="40"/>
      <c r="G80" s="40"/>
      <c r="H80" s="40"/>
      <c r="I80" s="40"/>
      <c r="J80" s="40"/>
      <c r="K80" s="40"/>
      <c r="L80" s="40"/>
      <c r="M80" s="40"/>
      <c r="N80" s="40"/>
    </row>
    <row r="81" spans="1:14" ht="23.25" x14ac:dyDescent="0.35">
      <c r="A81" s="801"/>
      <c r="B81" s="44" t="s">
        <v>1130</v>
      </c>
      <c r="C81" s="656">
        <v>980</v>
      </c>
      <c r="D81" s="798"/>
      <c r="E81" s="54"/>
      <c r="F81" s="40"/>
      <c r="G81" s="40"/>
      <c r="H81" s="40"/>
      <c r="I81" s="40"/>
      <c r="J81" s="40"/>
      <c r="K81" s="40"/>
      <c r="L81" s="40"/>
      <c r="M81" s="40"/>
      <c r="N81" s="40"/>
    </row>
    <row r="82" spans="1:14" ht="23.25" x14ac:dyDescent="0.35">
      <c r="A82" s="801"/>
      <c r="B82" s="44" t="s">
        <v>1131</v>
      </c>
      <c r="C82" s="656">
        <v>490</v>
      </c>
      <c r="D82" s="798"/>
      <c r="E82" s="54"/>
      <c r="F82" s="40"/>
      <c r="G82" s="40"/>
      <c r="H82" s="40"/>
      <c r="I82" s="40"/>
      <c r="J82" s="40"/>
      <c r="K82" s="40"/>
      <c r="L82" s="40"/>
      <c r="M82" s="40"/>
      <c r="N82" s="40"/>
    </row>
    <row r="83" spans="1:14" ht="23.25" x14ac:dyDescent="0.35">
      <c r="A83" s="801"/>
      <c r="B83" s="44" t="s">
        <v>1132</v>
      </c>
      <c r="C83" s="656">
        <v>490</v>
      </c>
      <c r="D83" s="798"/>
      <c r="E83" s="54"/>
      <c r="F83" s="40"/>
      <c r="G83" s="40"/>
      <c r="H83" s="40"/>
      <c r="I83" s="40"/>
      <c r="J83" s="40"/>
      <c r="K83" s="40"/>
      <c r="L83" s="40"/>
      <c r="M83" s="40"/>
      <c r="N83" s="40"/>
    </row>
    <row r="84" spans="1:14" ht="23.25" x14ac:dyDescent="0.35">
      <c r="A84" s="801"/>
      <c r="B84" s="44" t="s">
        <v>1133</v>
      </c>
      <c r="C84" s="656">
        <v>490</v>
      </c>
      <c r="D84" s="798"/>
      <c r="E84" s="54"/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23.25" x14ac:dyDescent="0.35">
      <c r="A85" s="801"/>
      <c r="B85" s="44" t="s">
        <v>1134</v>
      </c>
      <c r="C85" s="656">
        <v>490</v>
      </c>
      <c r="D85" s="798"/>
      <c r="E85" s="54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23.25" x14ac:dyDescent="0.35">
      <c r="A86" s="801"/>
      <c r="B86" s="44" t="s">
        <v>1135</v>
      </c>
      <c r="C86" s="656">
        <v>3922</v>
      </c>
      <c r="D86" s="798"/>
      <c r="E86" s="54"/>
      <c r="F86" s="40"/>
      <c r="G86" s="40"/>
      <c r="H86" s="40"/>
      <c r="I86" s="40"/>
      <c r="J86" s="40"/>
      <c r="K86" s="40"/>
      <c r="L86" s="40"/>
      <c r="M86" s="40"/>
      <c r="N86" s="40"/>
    </row>
    <row r="87" spans="1:14" ht="23.25" x14ac:dyDescent="0.35">
      <c r="A87" s="801"/>
      <c r="B87" s="44" t="s">
        <v>1136</v>
      </c>
      <c r="C87" s="656">
        <v>1471</v>
      </c>
      <c r="D87" s="798"/>
      <c r="E87" s="54"/>
      <c r="F87" s="40"/>
      <c r="G87" s="40"/>
      <c r="H87" s="40"/>
      <c r="I87" s="40"/>
      <c r="J87" s="40"/>
      <c r="K87" s="40"/>
      <c r="L87" s="40"/>
      <c r="M87" s="40"/>
      <c r="N87" s="40"/>
    </row>
    <row r="88" spans="1:14" ht="23.25" x14ac:dyDescent="0.35">
      <c r="A88" s="801"/>
      <c r="B88" s="44" t="s">
        <v>1137</v>
      </c>
      <c r="C88" s="656">
        <v>18628</v>
      </c>
      <c r="D88" s="798"/>
      <c r="E88" s="54"/>
      <c r="F88" s="40"/>
      <c r="G88" s="40"/>
      <c r="H88" s="40"/>
      <c r="I88" s="40"/>
      <c r="J88" s="40"/>
      <c r="K88" s="40"/>
      <c r="L88" s="40"/>
      <c r="M88" s="40"/>
      <c r="N88" s="40"/>
    </row>
    <row r="89" spans="1:14" ht="23.25" x14ac:dyDescent="0.35">
      <c r="A89" s="772"/>
      <c r="B89" s="44" t="s">
        <v>1138</v>
      </c>
      <c r="C89" s="656">
        <v>4583</v>
      </c>
      <c r="D89" s="798"/>
      <c r="E89" s="54"/>
      <c r="F89" s="40"/>
      <c r="G89" s="40"/>
      <c r="H89" s="40"/>
      <c r="I89" s="40"/>
      <c r="J89" s="40"/>
      <c r="K89" s="40"/>
      <c r="L89" s="40"/>
      <c r="M89" s="40"/>
      <c r="N89" s="40"/>
    </row>
    <row r="90" spans="1:14" ht="97.5" customHeight="1" x14ac:dyDescent="0.35">
      <c r="A90" s="777" t="s">
        <v>59</v>
      </c>
      <c r="B90" s="44" t="s">
        <v>1139</v>
      </c>
      <c r="C90" s="656">
        <v>6134100</v>
      </c>
      <c r="D90" s="798"/>
      <c r="E90" s="54"/>
      <c r="F90" s="43">
        <f>SUM(C5:C91)</f>
        <v>73797356</v>
      </c>
      <c r="G90" s="40"/>
      <c r="H90" s="40"/>
      <c r="I90" s="40"/>
      <c r="J90" s="40"/>
      <c r="K90" s="40"/>
      <c r="L90" s="40"/>
      <c r="M90" s="40"/>
      <c r="N90" s="40"/>
    </row>
    <row r="91" spans="1:14" ht="23.25" x14ac:dyDescent="0.35">
      <c r="A91" s="772"/>
      <c r="B91" s="44" t="s">
        <v>1140</v>
      </c>
      <c r="C91" s="656">
        <v>46919478</v>
      </c>
      <c r="D91" s="799"/>
      <c r="E91" s="54"/>
      <c r="F91" s="40"/>
      <c r="G91" s="40"/>
      <c r="H91" s="40"/>
      <c r="I91" s="40"/>
      <c r="J91" s="40"/>
      <c r="K91" s="40"/>
      <c r="L91" s="40"/>
      <c r="M91" s="40"/>
      <c r="N91" s="40"/>
    </row>
    <row r="92" spans="1:14" ht="23.25" x14ac:dyDescent="0.35">
      <c r="A92" s="793" t="s">
        <v>60</v>
      </c>
      <c r="B92" s="770"/>
      <c r="C92" s="655">
        <f>SUM(C5:C91)</f>
        <v>73797356</v>
      </c>
      <c r="D92" s="668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 ht="23.25" x14ac:dyDescent="0.35">
      <c r="A93" s="685"/>
      <c r="B93" s="794" t="s">
        <v>864</v>
      </c>
      <c r="C93" s="794"/>
      <c r="D93" s="686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14" ht="93" x14ac:dyDescent="0.35">
      <c r="A94" s="52" t="s">
        <v>58</v>
      </c>
      <c r="B94" s="44" t="s">
        <v>1141</v>
      </c>
      <c r="C94" s="656">
        <v>22210720</v>
      </c>
      <c r="D94" s="670" t="s">
        <v>1142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14" ht="23.25" x14ac:dyDescent="0.35">
      <c r="A95" s="770" t="s">
        <v>863</v>
      </c>
      <c r="B95" s="770"/>
      <c r="C95" s="655">
        <f>SUM(C94:C94)</f>
        <v>22210720</v>
      </c>
      <c r="D95" s="668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 ht="23.25" x14ac:dyDescent="0.35">
      <c r="A96" s="40"/>
      <c r="B96" s="795" t="s">
        <v>61</v>
      </c>
      <c r="C96" s="794"/>
      <c r="D96" s="669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ht="28.5" customHeight="1" x14ac:dyDescent="0.35">
      <c r="A97" s="796" t="s">
        <v>59</v>
      </c>
      <c r="B97" s="654" t="s">
        <v>1467</v>
      </c>
      <c r="C97" s="657">
        <v>2044893</v>
      </c>
      <c r="D97" s="791" t="s">
        <v>1142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23.25" x14ac:dyDescent="0.35">
      <c r="A98" s="796"/>
      <c r="B98" s="45" t="s">
        <v>1462</v>
      </c>
      <c r="C98" s="657">
        <v>659324</v>
      </c>
      <c r="D98" s="791"/>
      <c r="E98" s="40"/>
      <c r="F98" s="40"/>
      <c r="G98" s="40"/>
      <c r="H98" s="40"/>
      <c r="I98" s="40"/>
      <c r="J98" s="40"/>
      <c r="K98" s="40"/>
      <c r="L98" s="40"/>
      <c r="M98" s="40"/>
      <c r="N98" s="40"/>
    </row>
    <row r="99" spans="1:14" ht="23.25" x14ac:dyDescent="0.35">
      <c r="A99" s="796"/>
      <c r="B99" s="45" t="s">
        <v>62</v>
      </c>
      <c r="C99" s="657">
        <v>8078525</v>
      </c>
      <c r="D99" s="791"/>
      <c r="E99" s="40"/>
      <c r="F99" s="40"/>
      <c r="G99" s="40"/>
      <c r="H99" s="40"/>
      <c r="I99" s="40"/>
      <c r="J99" s="40"/>
      <c r="K99" s="40"/>
      <c r="L99" s="40"/>
      <c r="M99" s="40"/>
      <c r="N99" s="40"/>
    </row>
    <row r="100" spans="1:14" ht="23.25" x14ac:dyDescent="0.35">
      <c r="A100" s="796"/>
      <c r="B100" s="45" t="s">
        <v>1463</v>
      </c>
      <c r="C100" s="657">
        <v>511208</v>
      </c>
      <c r="D100" s="791"/>
      <c r="E100" s="40"/>
      <c r="F100" s="40"/>
      <c r="G100" s="40"/>
      <c r="H100" s="40"/>
      <c r="I100" s="40"/>
      <c r="J100" s="40"/>
      <c r="K100" s="40"/>
      <c r="L100" s="40"/>
      <c r="M100" s="40"/>
      <c r="N100" s="40"/>
    </row>
    <row r="101" spans="1:14" ht="23.25" x14ac:dyDescent="0.35">
      <c r="A101" s="796"/>
      <c r="B101" s="45" t="s">
        <v>63</v>
      </c>
      <c r="C101" s="657">
        <v>859632</v>
      </c>
      <c r="D101" s="791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 ht="23.25" x14ac:dyDescent="0.35">
      <c r="A102" s="796"/>
      <c r="B102" s="45" t="s">
        <v>1464</v>
      </c>
      <c r="C102" s="657">
        <v>5407180</v>
      </c>
      <c r="D102" s="791"/>
      <c r="E102" s="55">
        <f>SUM(C97:C102)</f>
        <v>17560762</v>
      </c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4" ht="26.25" customHeight="1" x14ac:dyDescent="0.35">
      <c r="A103" s="777" t="s">
        <v>58</v>
      </c>
      <c r="B103" s="45" t="s">
        <v>1465</v>
      </c>
      <c r="C103" s="657">
        <v>905711</v>
      </c>
      <c r="D103" s="791"/>
      <c r="E103" s="46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1:14" ht="26.25" customHeight="1" x14ac:dyDescent="0.35">
      <c r="A104" s="771"/>
      <c r="B104" s="45" t="s">
        <v>1466</v>
      </c>
      <c r="C104" s="657">
        <v>314831</v>
      </c>
      <c r="D104" s="791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  <row r="105" spans="1:14" ht="26.25" customHeight="1" x14ac:dyDescent="0.35">
      <c r="A105" s="771"/>
      <c r="B105" s="45" t="s">
        <v>64</v>
      </c>
      <c r="C105" s="657">
        <v>507808</v>
      </c>
      <c r="D105" s="791"/>
      <c r="E105" s="55">
        <f>SUM(C103:C105)</f>
        <v>1728350</v>
      </c>
      <c r="F105" s="46">
        <f>+E102+E105</f>
        <v>19289112</v>
      </c>
      <c r="G105" s="40"/>
      <c r="H105" s="40"/>
      <c r="I105" s="40"/>
      <c r="J105" s="40"/>
      <c r="K105" s="40"/>
      <c r="L105" s="40"/>
      <c r="M105" s="40"/>
      <c r="N105" s="40"/>
    </row>
    <row r="106" spans="1:14" ht="23.25" x14ac:dyDescent="0.35">
      <c r="A106" s="783" t="s">
        <v>65</v>
      </c>
      <c r="B106" s="784"/>
      <c r="C106" s="668">
        <f>SUM(C97:C105)</f>
        <v>19289112</v>
      </c>
      <c r="D106" s="700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3.25" x14ac:dyDescent="0.35">
      <c r="A107" s="679"/>
      <c r="B107" s="679"/>
      <c r="C107" s="701"/>
      <c r="D107" s="681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s="391" customFormat="1" ht="23.25" x14ac:dyDescent="0.35">
      <c r="A108" s="388"/>
      <c r="B108" s="389" t="s">
        <v>12</v>
      </c>
      <c r="C108" s="390"/>
      <c r="D108" s="687"/>
      <c r="E108" s="388"/>
      <c r="F108" s="388"/>
      <c r="G108" s="388"/>
      <c r="H108" s="388"/>
      <c r="I108" s="388"/>
      <c r="J108" s="388"/>
      <c r="K108" s="388"/>
      <c r="L108" s="388"/>
      <c r="M108" s="388"/>
      <c r="N108" s="388"/>
    </row>
    <row r="109" spans="1:14" ht="23.25" x14ac:dyDescent="0.35">
      <c r="A109" s="49"/>
      <c r="B109" s="394" t="s">
        <v>55</v>
      </c>
      <c r="C109" s="658"/>
      <c r="D109" s="671"/>
      <c r="E109" s="40"/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4" ht="23.25" x14ac:dyDescent="0.35">
      <c r="A110" s="777" t="s">
        <v>58</v>
      </c>
      <c r="B110" s="49" t="s">
        <v>1143</v>
      </c>
      <c r="C110" s="657">
        <v>8995</v>
      </c>
      <c r="D110" s="773" t="s">
        <v>1142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</row>
    <row r="111" spans="1:14" ht="23.25" x14ac:dyDescent="0.35">
      <c r="A111" s="771"/>
      <c r="B111" s="49" t="s">
        <v>1144</v>
      </c>
      <c r="C111" s="657">
        <v>10531</v>
      </c>
      <c r="D111" s="773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ht="23.25" x14ac:dyDescent="0.35">
      <c r="A112" s="771"/>
      <c r="B112" s="49" t="s">
        <v>1145</v>
      </c>
      <c r="C112" s="657">
        <v>13335</v>
      </c>
      <c r="D112" s="773"/>
      <c r="E112" s="40"/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ht="23.25" x14ac:dyDescent="0.35">
      <c r="A113" s="771"/>
      <c r="B113" s="49" t="s">
        <v>1146</v>
      </c>
      <c r="C113" s="657">
        <v>80963</v>
      </c>
      <c r="D113" s="773"/>
      <c r="E113" s="40"/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ht="23.25" x14ac:dyDescent="0.35">
      <c r="A114" s="771"/>
      <c r="B114" s="49" t="s">
        <v>1147</v>
      </c>
      <c r="C114" s="657">
        <v>10531</v>
      </c>
      <c r="D114" s="773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23.25" x14ac:dyDescent="0.35">
      <c r="A115" s="771"/>
      <c r="B115" s="49" t="s">
        <v>1148</v>
      </c>
      <c r="C115" s="657">
        <v>115000</v>
      </c>
      <c r="D115" s="773"/>
      <c r="E115" s="40"/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ht="23.25" x14ac:dyDescent="0.35">
      <c r="A116" s="772"/>
      <c r="B116" s="49" t="s">
        <v>1149</v>
      </c>
      <c r="C116" s="657">
        <v>25400</v>
      </c>
      <c r="D116" s="773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ht="23.25" x14ac:dyDescent="0.35">
      <c r="A117" s="770" t="s">
        <v>60</v>
      </c>
      <c r="B117" s="770"/>
      <c r="C117" s="655">
        <f>SUM(C110:C116)</f>
        <v>264755</v>
      </c>
      <c r="D117" s="67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ht="23.25" x14ac:dyDescent="0.35">
      <c r="A118" s="678"/>
      <c r="B118" s="47" t="s">
        <v>864</v>
      </c>
      <c r="C118" s="659">
        <v>0</v>
      </c>
      <c r="D118" s="67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ht="23.25" x14ac:dyDescent="0.35">
      <c r="A119" s="684"/>
      <c r="B119" s="47" t="s">
        <v>61</v>
      </c>
      <c r="C119" s="659">
        <v>0</v>
      </c>
      <c r="D119" s="67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ht="23.25" x14ac:dyDescent="0.35">
      <c r="A120" s="40"/>
      <c r="B120" s="48"/>
      <c r="C120" s="48"/>
      <c r="D120" s="689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s="391" customFormat="1" ht="23.25" x14ac:dyDescent="0.35">
      <c r="A121" s="388"/>
      <c r="B121" s="389" t="s">
        <v>13</v>
      </c>
      <c r="C121" s="390"/>
      <c r="D121" s="690"/>
      <c r="E121" s="388"/>
      <c r="F121" s="388"/>
      <c r="G121" s="388"/>
      <c r="H121" s="388"/>
      <c r="I121" s="388"/>
      <c r="J121" s="388"/>
      <c r="K121" s="388"/>
      <c r="L121" s="388"/>
      <c r="M121" s="388"/>
      <c r="N121" s="388"/>
    </row>
    <row r="122" spans="1:14" ht="23.25" x14ac:dyDescent="0.35">
      <c r="A122" s="40"/>
      <c r="B122" s="42" t="s">
        <v>55</v>
      </c>
      <c r="C122" s="363"/>
      <c r="D122" s="684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ht="23.25" x14ac:dyDescent="0.35">
      <c r="A123" s="785" t="s">
        <v>58</v>
      </c>
      <c r="B123" s="49" t="s">
        <v>1150</v>
      </c>
      <c r="C123" s="657">
        <v>4583</v>
      </c>
      <c r="D123" s="773" t="s">
        <v>1142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ht="23.25" x14ac:dyDescent="0.35">
      <c r="A124" s="786"/>
      <c r="B124" s="49" t="s">
        <v>1151</v>
      </c>
      <c r="C124" s="657">
        <v>30000</v>
      </c>
      <c r="D124" s="773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ht="23.25" x14ac:dyDescent="0.35">
      <c r="A125" s="786"/>
      <c r="B125" s="49" t="s">
        <v>1152</v>
      </c>
      <c r="C125" s="657">
        <v>14423</v>
      </c>
      <c r="D125" s="773"/>
      <c r="E125" s="40"/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ht="23.25" x14ac:dyDescent="0.35">
      <c r="A126" s="786"/>
      <c r="B126" s="49" t="s">
        <v>1153</v>
      </c>
      <c r="C126" s="657">
        <v>168021</v>
      </c>
      <c r="D126" s="773"/>
      <c r="E126" s="40"/>
      <c r="F126" s="40"/>
      <c r="G126" s="40"/>
      <c r="H126" s="40"/>
      <c r="I126" s="40"/>
      <c r="J126" s="40"/>
      <c r="K126" s="40"/>
      <c r="L126" s="40"/>
      <c r="M126" s="40"/>
      <c r="N126" s="40"/>
    </row>
    <row r="127" spans="1:14" ht="23.25" x14ac:dyDescent="0.35">
      <c r="A127" s="786"/>
      <c r="B127" s="49" t="s">
        <v>1154</v>
      </c>
      <c r="C127" s="657">
        <v>15398</v>
      </c>
      <c r="D127" s="773"/>
      <c r="E127" s="40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ht="23.25" x14ac:dyDescent="0.35">
      <c r="A128" s="786"/>
      <c r="B128" s="49" t="s">
        <v>1155</v>
      </c>
      <c r="C128" s="657">
        <v>73505</v>
      </c>
      <c r="D128" s="773"/>
      <c r="E128" s="46">
        <f>SUM(C123:C125)</f>
        <v>49006</v>
      </c>
      <c r="F128" s="40"/>
      <c r="G128" s="40"/>
      <c r="H128" s="40"/>
      <c r="I128" s="40"/>
      <c r="J128" s="40"/>
      <c r="K128" s="40"/>
      <c r="L128" s="40"/>
      <c r="M128" s="40"/>
      <c r="N128" s="40"/>
    </row>
    <row r="129" spans="1:14" ht="23.25" x14ac:dyDescent="0.35">
      <c r="A129" s="786"/>
      <c r="B129" s="49" t="s">
        <v>1156</v>
      </c>
      <c r="C129" s="657">
        <v>4583</v>
      </c>
      <c r="D129" s="773"/>
      <c r="E129" s="40"/>
      <c r="F129" s="46">
        <f>SUM(C127:C128)</f>
        <v>88903</v>
      </c>
      <c r="G129" s="40"/>
      <c r="H129" s="40"/>
      <c r="I129" s="40"/>
      <c r="J129" s="40"/>
      <c r="K129" s="40"/>
      <c r="L129" s="40"/>
      <c r="M129" s="40"/>
      <c r="N129" s="40"/>
    </row>
    <row r="130" spans="1:14" ht="23.25" x14ac:dyDescent="0.35">
      <c r="A130" s="786"/>
      <c r="B130" s="49" t="s">
        <v>1157</v>
      </c>
      <c r="C130" s="657">
        <v>15240</v>
      </c>
      <c r="D130" s="773"/>
      <c r="E130" s="46">
        <f>SUM(C129:C130)</f>
        <v>19823</v>
      </c>
      <c r="F130" s="40"/>
      <c r="G130" s="40"/>
      <c r="H130" s="40"/>
      <c r="I130" s="40"/>
      <c r="J130" s="40"/>
      <c r="K130" s="40"/>
      <c r="L130" s="40"/>
      <c r="M130" s="40"/>
      <c r="N130" s="40"/>
    </row>
    <row r="131" spans="1:14" ht="23.25" x14ac:dyDescent="0.35">
      <c r="A131" s="786"/>
      <c r="B131" s="49" t="s">
        <v>1158</v>
      </c>
      <c r="C131" s="657">
        <v>1817</v>
      </c>
      <c r="D131" s="773"/>
      <c r="E131" s="46"/>
      <c r="F131" s="40"/>
      <c r="G131" s="40"/>
      <c r="H131" s="40"/>
      <c r="I131" s="40"/>
      <c r="J131" s="40"/>
      <c r="K131" s="40"/>
      <c r="L131" s="40"/>
      <c r="M131" s="40"/>
      <c r="N131" s="40"/>
    </row>
    <row r="132" spans="1:14" ht="23.25" x14ac:dyDescent="0.35">
      <c r="A132" s="786"/>
      <c r="B132" s="49" t="s">
        <v>1159</v>
      </c>
      <c r="C132" s="657">
        <v>8677</v>
      </c>
      <c r="D132" s="773"/>
      <c r="E132" s="46"/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4" ht="23.25" x14ac:dyDescent="0.35">
      <c r="A133" s="786"/>
      <c r="B133" s="49" t="s">
        <v>1160</v>
      </c>
      <c r="C133" s="657">
        <v>1664</v>
      </c>
      <c r="D133" s="773"/>
      <c r="E133" s="46"/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ht="23.25" x14ac:dyDescent="0.35">
      <c r="A134" s="786"/>
      <c r="B134" s="49" t="s">
        <v>1161</v>
      </c>
      <c r="C134" s="657">
        <v>7943</v>
      </c>
      <c r="D134" s="773"/>
      <c r="E134" s="46"/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ht="23.25" x14ac:dyDescent="0.35">
      <c r="A135" s="786"/>
      <c r="B135" s="49" t="s">
        <v>1162</v>
      </c>
      <c r="C135" s="657">
        <v>2183</v>
      </c>
      <c r="D135" s="773"/>
      <c r="E135" s="46"/>
      <c r="F135" s="40"/>
      <c r="G135" s="40"/>
      <c r="H135" s="40"/>
      <c r="I135" s="40"/>
      <c r="J135" s="40"/>
      <c r="K135" s="40"/>
      <c r="L135" s="40"/>
      <c r="M135" s="40"/>
      <c r="N135" s="40"/>
    </row>
    <row r="136" spans="1:14" ht="23.25" x14ac:dyDescent="0.35">
      <c r="A136" s="786"/>
      <c r="B136" s="49" t="s">
        <v>1163</v>
      </c>
      <c r="C136" s="657">
        <v>10417</v>
      </c>
      <c r="D136" s="773"/>
      <c r="E136" s="46"/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ht="23.25" x14ac:dyDescent="0.35">
      <c r="A137" s="786"/>
      <c r="B137" s="49" t="s">
        <v>1164</v>
      </c>
      <c r="C137" s="657">
        <v>2291</v>
      </c>
      <c r="D137" s="773"/>
      <c r="E137" s="46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ht="23.25" x14ac:dyDescent="0.35">
      <c r="A138" s="786"/>
      <c r="B138" s="49" t="s">
        <v>1165</v>
      </c>
      <c r="C138" s="657">
        <v>11304</v>
      </c>
      <c r="D138" s="773"/>
      <c r="E138" s="46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ht="23.25" x14ac:dyDescent="0.35">
      <c r="A139" s="786"/>
      <c r="B139" s="49" t="s">
        <v>1166</v>
      </c>
      <c r="C139" s="657">
        <v>13407</v>
      </c>
      <c r="D139" s="773"/>
      <c r="E139" s="46"/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ht="46.5" x14ac:dyDescent="0.35">
      <c r="A140" s="786"/>
      <c r="B140" s="45" t="s">
        <v>1167</v>
      </c>
      <c r="C140" s="657">
        <v>21062</v>
      </c>
      <c r="D140" s="773"/>
      <c r="E140" s="40"/>
      <c r="F140" s="40"/>
      <c r="G140" s="40"/>
      <c r="H140" s="40"/>
      <c r="I140" s="40"/>
      <c r="J140" s="40"/>
      <c r="K140" s="40"/>
      <c r="L140" s="40"/>
      <c r="M140" s="40"/>
      <c r="N140" s="40"/>
    </row>
    <row r="141" spans="1:14" ht="46.5" x14ac:dyDescent="0.35">
      <c r="A141" s="786"/>
      <c r="B141" s="45" t="s">
        <v>1168</v>
      </c>
      <c r="C141" s="657">
        <v>21062</v>
      </c>
      <c r="D141" s="773"/>
      <c r="E141" s="40"/>
      <c r="F141" s="40"/>
      <c r="G141" s="40"/>
      <c r="H141" s="40"/>
      <c r="I141" s="40"/>
      <c r="J141" s="40"/>
      <c r="K141" s="40"/>
      <c r="L141" s="40"/>
      <c r="M141" s="40"/>
      <c r="N141" s="40"/>
    </row>
    <row r="142" spans="1:14" ht="46.5" x14ac:dyDescent="0.35">
      <c r="A142" s="786"/>
      <c r="B142" s="45" t="s">
        <v>1169</v>
      </c>
      <c r="C142" s="657">
        <v>42124</v>
      </c>
      <c r="D142" s="773"/>
      <c r="E142" s="40"/>
      <c r="F142" s="40"/>
      <c r="G142" s="40"/>
      <c r="H142" s="40"/>
      <c r="I142" s="40"/>
      <c r="J142" s="40"/>
      <c r="K142" s="40"/>
      <c r="L142" s="40"/>
      <c r="M142" s="40"/>
      <c r="N142" s="40"/>
    </row>
    <row r="143" spans="1:14" ht="46.5" x14ac:dyDescent="0.35">
      <c r="A143" s="786"/>
      <c r="B143" s="45" t="s">
        <v>1170</v>
      </c>
      <c r="C143" s="657">
        <v>42124</v>
      </c>
      <c r="D143" s="773"/>
      <c r="E143" s="40"/>
      <c r="F143" s="40"/>
      <c r="G143" s="40"/>
      <c r="H143" s="40"/>
      <c r="I143" s="40"/>
      <c r="J143" s="40"/>
      <c r="K143" s="40"/>
      <c r="L143" s="40"/>
      <c r="M143" s="40"/>
      <c r="N143" s="40"/>
    </row>
    <row r="144" spans="1:14" ht="46.5" x14ac:dyDescent="0.35">
      <c r="A144" s="786"/>
      <c r="B144" s="45" t="s">
        <v>1171</v>
      </c>
      <c r="C144" s="657">
        <v>1052</v>
      </c>
      <c r="D144" s="773"/>
      <c r="E144" s="40"/>
      <c r="F144" s="40"/>
      <c r="G144" s="40"/>
      <c r="H144" s="40"/>
      <c r="I144" s="40"/>
      <c r="J144" s="40"/>
      <c r="K144" s="40"/>
      <c r="L144" s="40"/>
      <c r="M144" s="40"/>
      <c r="N144" s="40"/>
    </row>
    <row r="145" spans="1:14" ht="23.25" x14ac:dyDescent="0.35">
      <c r="A145" s="786"/>
      <c r="B145" s="45" t="s">
        <v>1172</v>
      </c>
      <c r="C145" s="657">
        <v>526</v>
      </c>
      <c r="D145" s="773"/>
      <c r="E145" s="40"/>
      <c r="F145" s="40"/>
      <c r="G145" s="40"/>
      <c r="H145" s="40"/>
      <c r="I145" s="40"/>
      <c r="J145" s="40"/>
      <c r="K145" s="40"/>
      <c r="L145" s="40"/>
      <c r="M145" s="40"/>
      <c r="N145" s="40"/>
    </row>
    <row r="146" spans="1:14" ht="23.25" x14ac:dyDescent="0.35">
      <c r="A146" s="786"/>
      <c r="B146" s="45" t="s">
        <v>1173</v>
      </c>
      <c r="C146" s="657">
        <v>42124</v>
      </c>
      <c r="D146" s="773"/>
      <c r="E146" s="40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ht="23.25" x14ac:dyDescent="0.35">
      <c r="A147" s="787"/>
      <c r="B147" s="45" t="s">
        <v>1174</v>
      </c>
      <c r="C147" s="657">
        <v>397246</v>
      </c>
      <c r="D147" s="773"/>
      <c r="E147" s="40"/>
      <c r="F147" s="40"/>
      <c r="G147" s="40"/>
      <c r="H147" s="40"/>
      <c r="I147" s="40"/>
      <c r="J147" s="40"/>
      <c r="K147" s="40"/>
      <c r="L147" s="40"/>
      <c r="M147" s="40"/>
      <c r="N147" s="40"/>
    </row>
    <row r="148" spans="1:14" ht="23.25" x14ac:dyDescent="0.35">
      <c r="A148" s="770" t="s">
        <v>60</v>
      </c>
      <c r="B148" s="770"/>
      <c r="C148" s="655">
        <f>SUM(C123:C147)</f>
        <v>952776</v>
      </c>
      <c r="D148" s="670"/>
      <c r="E148" s="40"/>
      <c r="F148" s="40"/>
      <c r="G148" s="40"/>
      <c r="H148" s="40"/>
      <c r="I148" s="40"/>
      <c r="J148" s="40"/>
      <c r="K148" s="40"/>
      <c r="L148" s="40"/>
      <c r="M148" s="40"/>
      <c r="N148" s="40"/>
    </row>
    <row r="149" spans="1:14" ht="23.25" x14ac:dyDescent="0.35">
      <c r="A149" s="678"/>
      <c r="B149" s="47" t="s">
        <v>864</v>
      </c>
      <c r="C149" s="660">
        <v>0</v>
      </c>
      <c r="D149" s="672"/>
      <c r="E149" s="40"/>
      <c r="F149" s="40"/>
      <c r="G149" s="40"/>
      <c r="H149" s="40"/>
      <c r="I149" s="40"/>
      <c r="J149" s="40"/>
      <c r="K149" s="40"/>
      <c r="L149" s="40"/>
      <c r="M149" s="40"/>
      <c r="N149" s="40"/>
    </row>
    <row r="150" spans="1:14" ht="23.25" x14ac:dyDescent="0.35">
      <c r="A150" s="684"/>
      <c r="B150" s="47" t="s">
        <v>61</v>
      </c>
      <c r="C150" s="660">
        <v>0</v>
      </c>
      <c r="D150" s="669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23.25" x14ac:dyDescent="0.35">
      <c r="A151" s="40"/>
      <c r="B151" s="40"/>
      <c r="C151" s="363"/>
      <c r="D151" s="688"/>
      <c r="E151" s="40"/>
      <c r="F151" s="40"/>
      <c r="G151" s="40"/>
      <c r="H151" s="40"/>
      <c r="I151" s="40"/>
      <c r="J151" s="40"/>
      <c r="K151" s="40"/>
      <c r="L151" s="40"/>
      <c r="M151" s="40"/>
      <c r="N151" s="40"/>
    </row>
    <row r="152" spans="1:14" s="398" customFormat="1" ht="23.25" x14ac:dyDescent="0.35">
      <c r="A152" s="395"/>
      <c r="B152" s="396" t="s">
        <v>14</v>
      </c>
      <c r="C152" s="397"/>
      <c r="D152" s="692"/>
      <c r="E152" s="395"/>
      <c r="F152" s="395"/>
      <c r="G152" s="395"/>
      <c r="H152" s="395"/>
      <c r="I152" s="395"/>
      <c r="J152" s="395"/>
      <c r="K152" s="395"/>
      <c r="L152" s="395"/>
      <c r="M152" s="395"/>
      <c r="N152" s="395"/>
    </row>
    <row r="153" spans="1:14" ht="23.25" x14ac:dyDescent="0.35">
      <c r="A153" s="40"/>
      <c r="B153" s="399" t="s">
        <v>55</v>
      </c>
      <c r="C153" s="400"/>
      <c r="D153" s="698"/>
      <c r="E153" s="40"/>
      <c r="F153" s="40"/>
      <c r="G153" s="40"/>
      <c r="H153" s="40"/>
      <c r="I153" s="40"/>
      <c r="J153" s="40"/>
      <c r="K153" s="40"/>
      <c r="L153" s="40"/>
      <c r="M153" s="40"/>
      <c r="N153" s="40"/>
    </row>
    <row r="154" spans="1:14" ht="23.25" customHeight="1" x14ac:dyDescent="0.35">
      <c r="A154" s="788" t="s">
        <v>58</v>
      </c>
      <c r="B154" s="49" t="s">
        <v>1175</v>
      </c>
      <c r="C154" s="656">
        <v>63186</v>
      </c>
      <c r="D154" s="778" t="s">
        <v>1142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14" ht="23.25" x14ac:dyDescent="0.35">
      <c r="A155" s="789"/>
      <c r="B155" s="49" t="s">
        <v>1176</v>
      </c>
      <c r="C155" s="661">
        <v>63186</v>
      </c>
      <c r="D155" s="778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14" ht="23.25" x14ac:dyDescent="0.35">
      <c r="A156" s="789"/>
      <c r="B156" s="49" t="s">
        <v>1177</v>
      </c>
      <c r="C156" s="661">
        <v>116417</v>
      </c>
      <c r="D156" s="778"/>
      <c r="E156" s="40"/>
      <c r="F156" s="40"/>
      <c r="G156" s="40"/>
      <c r="H156" s="40"/>
      <c r="I156" s="40"/>
      <c r="J156" s="40"/>
      <c r="K156" s="40"/>
      <c r="L156" s="40"/>
      <c r="M156" s="40"/>
      <c r="N156" s="40"/>
    </row>
    <row r="157" spans="1:14" ht="23.25" x14ac:dyDescent="0.35">
      <c r="A157" s="789"/>
      <c r="B157" s="49" t="s">
        <v>1178</v>
      </c>
      <c r="C157" s="661">
        <v>16167</v>
      </c>
      <c r="D157" s="778"/>
      <c r="E157" s="40"/>
      <c r="F157" s="40"/>
      <c r="G157" s="40"/>
      <c r="H157" s="40"/>
      <c r="I157" s="40"/>
      <c r="J157" s="40"/>
      <c r="K157" s="40"/>
      <c r="L157" s="40"/>
      <c r="M157" s="40"/>
      <c r="N157" s="40"/>
    </row>
    <row r="158" spans="1:14" ht="23.25" x14ac:dyDescent="0.35">
      <c r="A158" s="789"/>
      <c r="B158" s="49" t="s">
        <v>1179</v>
      </c>
      <c r="C158" s="661">
        <v>38100</v>
      </c>
      <c r="D158" s="778"/>
      <c r="E158" s="40"/>
      <c r="F158" s="40"/>
      <c r="G158" s="40"/>
      <c r="H158" s="40"/>
      <c r="I158" s="40"/>
      <c r="J158" s="40"/>
      <c r="K158" s="40"/>
      <c r="L158" s="40"/>
      <c r="M158" s="40"/>
      <c r="N158" s="40"/>
    </row>
    <row r="159" spans="1:14" ht="23.25" x14ac:dyDescent="0.35">
      <c r="A159" s="789"/>
      <c r="B159" s="49" t="s">
        <v>1180</v>
      </c>
      <c r="C159" s="661">
        <v>42124</v>
      </c>
      <c r="D159" s="778"/>
      <c r="E159" s="40"/>
      <c r="F159" s="40"/>
      <c r="G159" s="40"/>
      <c r="H159" s="40"/>
      <c r="I159" s="40"/>
      <c r="J159" s="40"/>
      <c r="K159" s="40"/>
      <c r="L159" s="40"/>
      <c r="M159" s="40"/>
      <c r="N159" s="40"/>
    </row>
    <row r="160" spans="1:14" ht="23.25" x14ac:dyDescent="0.35">
      <c r="A160" s="789"/>
      <c r="B160" s="49" t="s">
        <v>1181</v>
      </c>
      <c r="C160" s="661">
        <v>42124</v>
      </c>
      <c r="D160" s="778"/>
      <c r="E160" s="40"/>
      <c r="F160" s="40"/>
      <c r="G160" s="40"/>
      <c r="H160" s="40"/>
      <c r="I160" s="40"/>
      <c r="J160" s="40"/>
      <c r="K160" s="40"/>
      <c r="L160" s="40"/>
      <c r="M160" s="40"/>
      <c r="N160" s="40"/>
    </row>
    <row r="161" spans="1:14" ht="23.25" x14ac:dyDescent="0.35">
      <c r="A161" s="789"/>
      <c r="B161" s="49" t="s">
        <v>1182</v>
      </c>
      <c r="C161" s="661">
        <v>7963</v>
      </c>
      <c r="D161" s="778"/>
      <c r="E161" s="40"/>
      <c r="F161" s="40"/>
      <c r="G161" s="40"/>
      <c r="H161" s="40"/>
      <c r="I161" s="40"/>
      <c r="J161" s="40"/>
      <c r="K161" s="40"/>
      <c r="L161" s="40"/>
      <c r="M161" s="40"/>
      <c r="N161" s="40"/>
    </row>
    <row r="162" spans="1:14" ht="23.25" x14ac:dyDescent="0.35">
      <c r="A162" s="789"/>
      <c r="B162" s="49" t="s">
        <v>1183</v>
      </c>
      <c r="C162" s="661">
        <v>228971</v>
      </c>
      <c r="D162" s="778"/>
      <c r="E162" s="40"/>
      <c r="F162" s="40"/>
      <c r="G162" s="40"/>
      <c r="H162" s="40"/>
      <c r="I162" s="40"/>
      <c r="J162" s="40"/>
      <c r="K162" s="40"/>
      <c r="L162" s="40"/>
      <c r="M162" s="40"/>
      <c r="N162" s="40"/>
    </row>
    <row r="163" spans="1:14" ht="23.25" x14ac:dyDescent="0.35">
      <c r="A163" s="789"/>
      <c r="B163" s="49" t="s">
        <v>1184</v>
      </c>
      <c r="C163" s="661">
        <v>162231</v>
      </c>
      <c r="D163" s="778"/>
      <c r="E163" s="40"/>
      <c r="F163" s="40"/>
      <c r="G163" s="40"/>
      <c r="H163" s="40"/>
      <c r="I163" s="40"/>
      <c r="J163" s="40"/>
      <c r="K163" s="40"/>
      <c r="L163" s="40"/>
      <c r="M163" s="40"/>
      <c r="N163" s="40"/>
    </row>
    <row r="164" spans="1:14" ht="23.25" x14ac:dyDescent="0.35">
      <c r="A164" s="790"/>
      <c r="B164" s="49" t="s">
        <v>1185</v>
      </c>
      <c r="C164" s="661">
        <v>12700</v>
      </c>
      <c r="D164" s="778"/>
      <c r="E164" s="40"/>
      <c r="F164" s="40"/>
      <c r="G164" s="40"/>
      <c r="H164" s="40"/>
      <c r="I164" s="40"/>
      <c r="J164" s="40"/>
      <c r="K164" s="40"/>
      <c r="L164" s="40"/>
      <c r="M164" s="40"/>
      <c r="N164" s="40"/>
    </row>
    <row r="165" spans="1:14" ht="23.25" x14ac:dyDescent="0.35">
      <c r="A165" s="770" t="s">
        <v>60</v>
      </c>
      <c r="B165" s="770"/>
      <c r="C165" s="655">
        <f>SUM(C151:C164)</f>
        <v>793169</v>
      </c>
      <c r="D165" s="670"/>
      <c r="E165" s="40"/>
      <c r="F165" s="40"/>
      <c r="G165" s="40"/>
      <c r="H165" s="40"/>
      <c r="I165" s="40"/>
      <c r="J165" s="40"/>
      <c r="K165" s="40"/>
      <c r="L165" s="40"/>
      <c r="M165" s="40"/>
      <c r="N165" s="40"/>
    </row>
    <row r="166" spans="1:14" ht="23.25" x14ac:dyDescent="0.35">
      <c r="A166" s="678"/>
      <c r="B166" s="47" t="s">
        <v>864</v>
      </c>
      <c r="C166" s="662">
        <v>0</v>
      </c>
      <c r="D166" s="673"/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1:14" ht="23.25" x14ac:dyDescent="0.35">
      <c r="A167" s="684"/>
      <c r="B167" s="47" t="s">
        <v>61</v>
      </c>
      <c r="C167" s="660">
        <v>0</v>
      </c>
      <c r="D167" s="672"/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1:14" ht="23.25" x14ac:dyDescent="0.35">
      <c r="A168" s="40"/>
      <c r="B168" s="40"/>
      <c r="C168" s="363"/>
      <c r="D168" s="688"/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1:14" s="391" customFormat="1" ht="23.25" x14ac:dyDescent="0.35">
      <c r="A169" s="388"/>
      <c r="B169" s="389" t="s">
        <v>11</v>
      </c>
      <c r="C169" s="390"/>
      <c r="D169" s="692"/>
      <c r="E169" s="388"/>
      <c r="F169" s="388"/>
      <c r="G169" s="388"/>
      <c r="H169" s="388"/>
      <c r="I169" s="388"/>
      <c r="J169" s="388"/>
      <c r="K169" s="388"/>
      <c r="L169" s="388"/>
      <c r="M169" s="388"/>
      <c r="N169" s="388"/>
    </row>
    <row r="170" spans="1:14" ht="23.25" x14ac:dyDescent="0.35">
      <c r="A170" s="40"/>
      <c r="B170" s="42" t="s">
        <v>55</v>
      </c>
      <c r="C170" s="363"/>
      <c r="D170" s="691"/>
      <c r="E170" s="40"/>
      <c r="F170" s="40"/>
      <c r="G170" s="40"/>
      <c r="H170" s="40"/>
      <c r="I170" s="40"/>
      <c r="J170" s="40"/>
      <c r="K170" s="40"/>
      <c r="L170" s="40"/>
      <c r="M170" s="40"/>
      <c r="N170" s="40"/>
    </row>
    <row r="171" spans="1:14" ht="23.25" x14ac:dyDescent="0.35">
      <c r="A171" s="777" t="s">
        <v>58</v>
      </c>
      <c r="B171" s="49" t="s">
        <v>1186</v>
      </c>
      <c r="C171" s="663">
        <v>1585</v>
      </c>
      <c r="D171" s="773" t="s">
        <v>1142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</row>
    <row r="172" spans="1:14" ht="23.25" x14ac:dyDescent="0.35">
      <c r="A172" s="771"/>
      <c r="B172" s="49" t="s">
        <v>1187</v>
      </c>
      <c r="C172" s="663">
        <v>3791</v>
      </c>
      <c r="D172" s="773"/>
      <c r="E172" s="40"/>
      <c r="F172" s="40"/>
      <c r="G172" s="40"/>
      <c r="H172" s="40"/>
      <c r="I172" s="40"/>
      <c r="J172" s="40"/>
      <c r="K172" s="40"/>
      <c r="L172" s="40"/>
      <c r="M172" s="40"/>
      <c r="N172" s="40"/>
    </row>
    <row r="173" spans="1:14" ht="23.25" x14ac:dyDescent="0.35">
      <c r="A173" s="771"/>
      <c r="B173" s="49" t="s">
        <v>1188</v>
      </c>
      <c r="C173" s="663">
        <v>3791</v>
      </c>
      <c r="D173" s="773"/>
      <c r="E173" s="40"/>
      <c r="F173" s="40"/>
      <c r="G173" s="40"/>
      <c r="H173" s="40"/>
      <c r="I173" s="40"/>
      <c r="J173" s="40"/>
      <c r="K173" s="40"/>
      <c r="L173" s="40"/>
      <c r="M173" s="40"/>
      <c r="N173" s="40"/>
    </row>
    <row r="174" spans="1:14" ht="23.25" x14ac:dyDescent="0.35">
      <c r="A174" s="771"/>
      <c r="B174" s="49" t="s">
        <v>1189</v>
      </c>
      <c r="C174" s="663">
        <f>9677+38708+48385</f>
        <v>96770</v>
      </c>
      <c r="D174" s="773"/>
      <c r="E174" s="40"/>
      <c r="F174" s="40"/>
      <c r="G174" s="40"/>
      <c r="H174" s="40"/>
      <c r="I174" s="40"/>
      <c r="J174" s="40"/>
      <c r="K174" s="40"/>
      <c r="L174" s="40"/>
      <c r="M174" s="40"/>
      <c r="N174" s="40"/>
    </row>
    <row r="175" spans="1:14" ht="23.25" x14ac:dyDescent="0.35">
      <c r="A175" s="771"/>
      <c r="B175" s="49" t="s">
        <v>1190</v>
      </c>
      <c r="C175" s="663">
        <v>18000</v>
      </c>
      <c r="D175" s="773"/>
      <c r="E175" s="40"/>
      <c r="F175" s="40"/>
      <c r="G175" s="40"/>
      <c r="H175" s="40"/>
      <c r="I175" s="40"/>
      <c r="J175" s="40"/>
      <c r="K175" s="40"/>
      <c r="L175" s="40"/>
      <c r="M175" s="40"/>
      <c r="N175" s="40"/>
    </row>
    <row r="176" spans="1:14" ht="23.25" x14ac:dyDescent="0.35">
      <c r="A176" s="771"/>
      <c r="B176" s="49" t="s">
        <v>1191</v>
      </c>
      <c r="C176" s="663">
        <v>38333</v>
      </c>
      <c r="D176" s="773"/>
      <c r="E176" s="40"/>
      <c r="F176" s="40"/>
      <c r="G176" s="40"/>
      <c r="H176" s="40"/>
      <c r="I176" s="40"/>
      <c r="J176" s="40"/>
      <c r="K176" s="40"/>
      <c r="L176" s="40"/>
      <c r="M176" s="40"/>
      <c r="N176" s="40"/>
    </row>
    <row r="177" spans="1:14" ht="23.25" x14ac:dyDescent="0.35">
      <c r="A177" s="771"/>
      <c r="B177" s="49" t="s">
        <v>1192</v>
      </c>
      <c r="C177" s="663">
        <v>38333</v>
      </c>
      <c r="D177" s="773"/>
      <c r="E177" s="40"/>
      <c r="F177" s="40"/>
      <c r="G177" s="40"/>
      <c r="H177" s="40"/>
      <c r="I177" s="40"/>
      <c r="J177" s="40"/>
      <c r="K177" s="40"/>
      <c r="L177" s="40"/>
      <c r="M177" s="40"/>
      <c r="N177" s="40"/>
    </row>
    <row r="178" spans="1:14" ht="23.25" x14ac:dyDescent="0.35">
      <c r="A178" s="771"/>
      <c r="B178" s="49" t="s">
        <v>1193</v>
      </c>
      <c r="C178" s="663">
        <v>54864</v>
      </c>
      <c r="D178" s="773"/>
      <c r="E178" s="40"/>
      <c r="F178" s="40"/>
      <c r="G178" s="40"/>
      <c r="H178" s="40"/>
      <c r="I178" s="40"/>
      <c r="J178" s="40"/>
      <c r="K178" s="40"/>
      <c r="L178" s="40"/>
      <c r="M178" s="40"/>
      <c r="N178" s="40"/>
    </row>
    <row r="179" spans="1:14" ht="23.25" x14ac:dyDescent="0.35">
      <c r="A179" s="771"/>
      <c r="B179" s="49" t="s">
        <v>1194</v>
      </c>
      <c r="C179" s="663">
        <v>100542</v>
      </c>
      <c r="D179" s="773"/>
      <c r="E179" s="40"/>
      <c r="F179" s="40"/>
      <c r="G179" s="40"/>
      <c r="H179" s="40"/>
      <c r="I179" s="40"/>
      <c r="J179" s="40"/>
      <c r="K179" s="40"/>
      <c r="L179" s="40"/>
      <c r="M179" s="40"/>
      <c r="N179" s="40"/>
    </row>
    <row r="180" spans="1:14" ht="23.25" x14ac:dyDescent="0.35">
      <c r="A180" s="772"/>
      <c r="B180" s="49" t="s">
        <v>1195</v>
      </c>
      <c r="C180" s="663">
        <v>554736</v>
      </c>
      <c r="D180" s="773"/>
      <c r="E180" s="40"/>
      <c r="F180" s="40"/>
      <c r="G180" s="40"/>
      <c r="H180" s="40"/>
      <c r="I180" s="40"/>
      <c r="J180" s="40"/>
      <c r="K180" s="40"/>
      <c r="L180" s="40"/>
      <c r="M180" s="40"/>
      <c r="N180" s="40"/>
    </row>
    <row r="181" spans="1:14" ht="23.25" x14ac:dyDescent="0.35">
      <c r="A181" s="770" t="s">
        <v>60</v>
      </c>
      <c r="B181" s="770"/>
      <c r="C181" s="655">
        <f>SUM(C167:C180)</f>
        <v>910745</v>
      </c>
      <c r="D181" s="670"/>
      <c r="E181" s="40"/>
      <c r="F181" s="40"/>
      <c r="G181" s="40"/>
      <c r="H181" s="40"/>
      <c r="I181" s="40"/>
      <c r="J181" s="40"/>
      <c r="K181" s="40"/>
      <c r="L181" s="40"/>
      <c r="M181" s="40"/>
      <c r="N181" s="40"/>
    </row>
    <row r="182" spans="1:14" ht="23.25" x14ac:dyDescent="0.35">
      <c r="A182" s="678"/>
      <c r="B182" s="47" t="s">
        <v>864</v>
      </c>
      <c r="C182" s="672">
        <v>0</v>
      </c>
      <c r="D182" s="672"/>
      <c r="E182" s="40"/>
      <c r="F182" s="40"/>
      <c r="G182" s="40"/>
      <c r="H182" s="40"/>
      <c r="I182" s="40"/>
      <c r="J182" s="40"/>
      <c r="K182" s="40"/>
      <c r="L182" s="40"/>
      <c r="M182" s="40"/>
      <c r="N182" s="40"/>
    </row>
    <row r="183" spans="1:14" ht="23.25" x14ac:dyDescent="0.35">
      <c r="A183" s="684"/>
      <c r="B183" s="47" t="s">
        <v>61</v>
      </c>
      <c r="C183" s="672">
        <v>0</v>
      </c>
      <c r="D183" s="669"/>
      <c r="E183" s="40"/>
      <c r="F183" s="40"/>
      <c r="G183" s="40"/>
      <c r="H183" s="40"/>
      <c r="I183" s="40"/>
      <c r="J183" s="40"/>
      <c r="K183" s="40"/>
      <c r="L183" s="40"/>
      <c r="M183" s="40"/>
      <c r="N183" s="40"/>
    </row>
    <row r="184" spans="1:14" ht="23.25" x14ac:dyDescent="0.35">
      <c r="A184" s="40"/>
      <c r="B184" s="40"/>
      <c r="C184" s="701"/>
      <c r="D184" s="681"/>
      <c r="E184" s="40"/>
      <c r="F184" s="40"/>
      <c r="G184" s="40"/>
      <c r="H184" s="40"/>
      <c r="I184" s="40"/>
      <c r="J184" s="40"/>
      <c r="K184" s="40"/>
      <c r="L184" s="40"/>
      <c r="M184" s="40"/>
      <c r="N184" s="40"/>
    </row>
    <row r="185" spans="1:14" s="391" customFormat="1" ht="23.25" x14ac:dyDescent="0.35">
      <c r="A185" s="388"/>
      <c r="B185" s="389" t="s">
        <v>15</v>
      </c>
      <c r="C185" s="390"/>
      <c r="D185" s="692"/>
      <c r="E185" s="388"/>
      <c r="F185" s="388"/>
      <c r="G185" s="388"/>
      <c r="H185" s="388"/>
      <c r="I185" s="388"/>
      <c r="J185" s="388"/>
      <c r="K185" s="388"/>
      <c r="L185" s="388"/>
      <c r="M185" s="388"/>
      <c r="N185" s="388"/>
    </row>
    <row r="186" spans="1:14" ht="23.25" x14ac:dyDescent="0.35">
      <c r="A186" s="694"/>
      <c r="B186" s="695" t="s">
        <v>55</v>
      </c>
      <c r="C186" s="696"/>
      <c r="D186" s="693"/>
      <c r="E186" s="40"/>
      <c r="F186" s="40"/>
      <c r="G186" s="40"/>
      <c r="H186" s="40"/>
      <c r="I186" s="40"/>
      <c r="J186" s="40"/>
      <c r="K186" s="40"/>
      <c r="L186" s="40"/>
      <c r="M186" s="40"/>
      <c r="N186" s="40"/>
    </row>
    <row r="187" spans="1:14" ht="23.25" x14ac:dyDescent="0.35">
      <c r="A187" s="771" t="s">
        <v>58</v>
      </c>
      <c r="B187" s="401" t="s">
        <v>1196</v>
      </c>
      <c r="C187" s="663">
        <v>42124</v>
      </c>
      <c r="D187" s="773" t="s">
        <v>1142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</row>
    <row r="188" spans="1:14" ht="23.25" x14ac:dyDescent="0.35">
      <c r="A188" s="771"/>
      <c r="B188" s="401" t="s">
        <v>1197</v>
      </c>
      <c r="C188" s="663">
        <v>35810</v>
      </c>
      <c r="D188" s="773"/>
      <c r="E188" s="40"/>
      <c r="F188" s="40"/>
      <c r="G188" s="40"/>
      <c r="H188" s="40"/>
      <c r="I188" s="40"/>
      <c r="J188" s="40"/>
      <c r="K188" s="40"/>
      <c r="L188" s="40"/>
      <c r="M188" s="40"/>
      <c r="N188" s="40"/>
    </row>
    <row r="189" spans="1:14" ht="23.25" x14ac:dyDescent="0.35">
      <c r="A189" s="771"/>
      <c r="B189" s="401" t="s">
        <v>1198</v>
      </c>
      <c r="C189" s="663">
        <v>40640</v>
      </c>
      <c r="D189" s="773"/>
      <c r="E189" s="40"/>
      <c r="F189" s="40"/>
      <c r="G189" s="40"/>
      <c r="H189" s="40"/>
      <c r="I189" s="40"/>
      <c r="J189" s="40"/>
      <c r="K189" s="40"/>
      <c r="L189" s="40"/>
      <c r="M189" s="40"/>
      <c r="N189" s="40"/>
    </row>
    <row r="190" spans="1:14" ht="23.25" x14ac:dyDescent="0.35">
      <c r="A190" s="771"/>
      <c r="B190" s="401" t="s">
        <v>1199</v>
      </c>
      <c r="C190" s="663">
        <v>50800</v>
      </c>
      <c r="D190" s="773"/>
      <c r="E190" s="40"/>
      <c r="F190" s="40"/>
      <c r="G190" s="40"/>
      <c r="H190" s="40"/>
      <c r="I190" s="40"/>
      <c r="J190" s="40"/>
      <c r="K190" s="40"/>
      <c r="L190" s="40"/>
      <c r="M190" s="40"/>
      <c r="N190" s="40"/>
    </row>
    <row r="191" spans="1:14" ht="23.25" x14ac:dyDescent="0.35">
      <c r="A191" s="771"/>
      <c r="B191" s="401" t="s">
        <v>1200</v>
      </c>
      <c r="C191" s="663">
        <v>24130</v>
      </c>
      <c r="D191" s="773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2" spans="1:14" ht="23.25" x14ac:dyDescent="0.35">
      <c r="A192" s="771"/>
      <c r="B192" s="401" t="s">
        <v>1201</v>
      </c>
      <c r="C192" s="663">
        <v>6874</v>
      </c>
      <c r="D192" s="773"/>
      <c r="E192" s="40"/>
      <c r="F192" s="40"/>
      <c r="G192" s="40"/>
      <c r="H192" s="40"/>
      <c r="I192" s="40"/>
      <c r="J192" s="40"/>
      <c r="K192" s="40"/>
      <c r="L192" s="40"/>
      <c r="M192" s="40"/>
      <c r="N192" s="40"/>
    </row>
    <row r="193" spans="1:14" ht="23.25" x14ac:dyDescent="0.35">
      <c r="A193" s="771"/>
      <c r="B193" s="401" t="s">
        <v>1202</v>
      </c>
      <c r="C193" s="663">
        <v>12700</v>
      </c>
      <c r="D193" s="773"/>
      <c r="E193" s="40"/>
      <c r="F193" s="40"/>
      <c r="G193" s="40"/>
      <c r="H193" s="40"/>
      <c r="I193" s="40"/>
      <c r="J193" s="40"/>
      <c r="K193" s="40"/>
      <c r="L193" s="40"/>
      <c r="M193" s="40"/>
      <c r="N193" s="40"/>
    </row>
    <row r="194" spans="1:14" ht="23.25" x14ac:dyDescent="0.35">
      <c r="A194" s="771"/>
      <c r="B194" s="401" t="s">
        <v>1203</v>
      </c>
      <c r="C194" s="663">
        <v>192132</v>
      </c>
      <c r="D194" s="773"/>
      <c r="E194" s="40"/>
      <c r="F194" s="40"/>
      <c r="G194" s="40"/>
      <c r="H194" s="40"/>
      <c r="I194" s="40"/>
      <c r="J194" s="40"/>
      <c r="K194" s="40"/>
      <c r="L194" s="40"/>
      <c r="M194" s="40"/>
      <c r="N194" s="40"/>
    </row>
    <row r="195" spans="1:14" ht="23.25" x14ac:dyDescent="0.35">
      <c r="A195" s="771"/>
      <c r="B195" s="401" t="s">
        <v>1204</v>
      </c>
      <c r="C195" s="663">
        <v>21062</v>
      </c>
      <c r="D195" s="773"/>
      <c r="E195" s="40"/>
      <c r="F195" s="40"/>
      <c r="G195" s="40"/>
      <c r="H195" s="40"/>
      <c r="I195" s="40"/>
      <c r="J195" s="40"/>
      <c r="K195" s="40"/>
      <c r="L195" s="40"/>
      <c r="M195" s="40"/>
      <c r="N195" s="40"/>
    </row>
    <row r="196" spans="1:14" ht="23.25" x14ac:dyDescent="0.35">
      <c r="A196" s="772"/>
      <c r="B196" s="401" t="s">
        <v>1205</v>
      </c>
      <c r="C196" s="663">
        <v>12700</v>
      </c>
      <c r="D196" s="773"/>
      <c r="E196" s="40"/>
      <c r="F196" s="40"/>
      <c r="G196" s="40"/>
      <c r="H196" s="40"/>
      <c r="I196" s="40"/>
      <c r="J196" s="40"/>
      <c r="K196" s="40"/>
      <c r="L196" s="40"/>
      <c r="M196" s="40"/>
      <c r="N196" s="40"/>
    </row>
    <row r="197" spans="1:14" ht="23.25" x14ac:dyDescent="0.35">
      <c r="A197" s="770" t="s">
        <v>60</v>
      </c>
      <c r="B197" s="770"/>
      <c r="C197" s="655">
        <f>SUM(C187:C196)</f>
        <v>438972</v>
      </c>
      <c r="D197" s="670"/>
      <c r="E197" s="40"/>
      <c r="F197" s="40"/>
      <c r="G197" s="40"/>
      <c r="H197" s="40"/>
      <c r="I197" s="40"/>
      <c r="J197" s="40"/>
      <c r="K197" s="40"/>
      <c r="L197" s="40"/>
      <c r="M197" s="40"/>
      <c r="N197" s="40"/>
    </row>
    <row r="198" spans="1:14" ht="23.25" x14ac:dyDescent="0.35">
      <c r="A198" s="678"/>
      <c r="B198" s="47" t="s">
        <v>864</v>
      </c>
      <c r="C198" s="664">
        <v>0</v>
      </c>
      <c r="D198" s="674"/>
      <c r="E198" s="40"/>
      <c r="F198" s="40"/>
      <c r="G198" s="40"/>
      <c r="H198" s="40"/>
      <c r="I198" s="40"/>
      <c r="J198" s="40"/>
      <c r="K198" s="40"/>
      <c r="L198" s="40"/>
      <c r="M198" s="40"/>
      <c r="N198" s="40">
        <f>172940*1.27</f>
        <v>219633.80000000002</v>
      </c>
    </row>
    <row r="199" spans="1:14" ht="23.25" x14ac:dyDescent="0.35">
      <c r="A199" s="684"/>
      <c r="B199" s="47" t="s">
        <v>61</v>
      </c>
      <c r="C199" s="664">
        <v>0</v>
      </c>
      <c r="D199" s="674"/>
      <c r="E199" s="40"/>
      <c r="F199" s="40"/>
      <c r="G199" s="40"/>
      <c r="H199" s="40"/>
      <c r="I199" s="40"/>
      <c r="J199" s="40"/>
      <c r="K199" s="40"/>
      <c r="L199" s="40"/>
      <c r="M199" s="40"/>
      <c r="N199" s="40"/>
    </row>
    <row r="200" spans="1:14" ht="23.25" x14ac:dyDescent="0.35">
      <c r="A200" s="40"/>
      <c r="B200" s="40"/>
      <c r="C200" s="363"/>
      <c r="D200" s="688"/>
      <c r="E200" s="40"/>
      <c r="F200" s="40"/>
      <c r="G200" s="40"/>
      <c r="H200" s="40"/>
      <c r="I200" s="40"/>
      <c r="J200" s="40"/>
      <c r="K200" s="40"/>
      <c r="L200" s="40"/>
      <c r="M200" s="40"/>
      <c r="N200" s="40"/>
    </row>
    <row r="201" spans="1:14" s="391" customFormat="1" ht="23.25" x14ac:dyDescent="0.35">
      <c r="A201" s="388"/>
      <c r="B201" s="389" t="s">
        <v>41</v>
      </c>
      <c r="C201" s="390"/>
      <c r="D201" s="690"/>
      <c r="E201" s="388"/>
      <c r="F201" s="388"/>
      <c r="G201" s="388"/>
      <c r="H201" s="388"/>
      <c r="I201" s="388"/>
      <c r="J201" s="388"/>
      <c r="K201" s="388"/>
      <c r="L201" s="388"/>
      <c r="M201" s="388"/>
      <c r="N201" s="388"/>
    </row>
    <row r="202" spans="1:14" ht="23.25" x14ac:dyDescent="0.35">
      <c r="A202" s="678"/>
      <c r="B202" s="402" t="s">
        <v>55</v>
      </c>
      <c r="C202" s="663"/>
      <c r="D202" s="697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  <row r="203" spans="1:14" ht="23.25" x14ac:dyDescent="0.35">
      <c r="A203" s="771" t="s">
        <v>58</v>
      </c>
      <c r="B203" s="393" t="s">
        <v>1206</v>
      </c>
      <c r="C203" s="663">
        <v>2291</v>
      </c>
      <c r="D203" s="774" t="s">
        <v>1142</v>
      </c>
      <c r="E203" s="40"/>
      <c r="F203" s="40"/>
      <c r="G203" s="40"/>
      <c r="H203" s="40"/>
      <c r="I203" s="40"/>
      <c r="J203" s="40"/>
      <c r="K203" s="40"/>
      <c r="L203" s="40"/>
      <c r="M203" s="40"/>
      <c r="N203" s="40"/>
    </row>
    <row r="204" spans="1:14" ht="23.25" x14ac:dyDescent="0.35">
      <c r="A204" s="771"/>
      <c r="B204" s="393" t="s">
        <v>1207</v>
      </c>
      <c r="C204" s="663">
        <v>2291</v>
      </c>
      <c r="D204" s="774"/>
      <c r="E204" s="40"/>
      <c r="F204" s="40"/>
      <c r="G204" s="40"/>
      <c r="H204" s="40"/>
      <c r="I204" s="40"/>
      <c r="J204" s="40"/>
      <c r="K204" s="40"/>
      <c r="L204" s="40"/>
      <c r="M204" s="40"/>
      <c r="N204" s="40"/>
    </row>
    <row r="205" spans="1:14" ht="23.25" x14ac:dyDescent="0.35">
      <c r="A205" s="771"/>
      <c r="B205" s="393" t="s">
        <v>1208</v>
      </c>
      <c r="C205" s="663">
        <v>12065</v>
      </c>
      <c r="D205" s="774"/>
      <c r="E205" s="40"/>
      <c r="F205" s="40"/>
      <c r="G205" s="40"/>
      <c r="H205" s="40"/>
      <c r="I205" s="40"/>
      <c r="J205" s="40"/>
      <c r="K205" s="40"/>
      <c r="L205" s="40"/>
      <c r="M205" s="40"/>
      <c r="N205" s="40"/>
    </row>
    <row r="206" spans="1:14" ht="23.25" x14ac:dyDescent="0.35">
      <c r="A206" s="771"/>
      <c r="B206" s="393" t="s">
        <v>1209</v>
      </c>
      <c r="C206" s="663">
        <v>33429</v>
      </c>
      <c r="D206" s="774"/>
      <c r="E206" s="40"/>
      <c r="F206" s="40"/>
      <c r="G206" s="40"/>
      <c r="H206" s="40"/>
      <c r="I206" s="40"/>
      <c r="J206" s="40"/>
      <c r="K206" s="40"/>
      <c r="L206" s="40"/>
      <c r="M206" s="40"/>
      <c r="N206" s="40"/>
    </row>
    <row r="207" spans="1:14" ht="23.25" x14ac:dyDescent="0.35">
      <c r="A207" s="771"/>
      <c r="B207" s="393" t="s">
        <v>1210</v>
      </c>
      <c r="C207" s="663">
        <v>1723</v>
      </c>
      <c r="D207" s="774"/>
      <c r="E207" s="40"/>
      <c r="F207" s="40"/>
      <c r="G207" s="40"/>
      <c r="H207" s="40"/>
      <c r="I207" s="40"/>
      <c r="J207" s="40"/>
      <c r="K207" s="40"/>
      <c r="L207" s="40"/>
      <c r="M207" s="40"/>
      <c r="N207" s="40"/>
    </row>
    <row r="208" spans="1:14" ht="23.25" x14ac:dyDescent="0.35">
      <c r="A208" s="771"/>
      <c r="B208" s="393" t="s">
        <v>1211</v>
      </c>
      <c r="C208" s="663">
        <v>2292</v>
      </c>
      <c r="D208" s="774"/>
      <c r="E208" s="40"/>
      <c r="F208" s="40"/>
      <c r="G208" s="40"/>
      <c r="H208" s="40"/>
      <c r="I208" s="40"/>
      <c r="J208" s="40"/>
      <c r="K208" s="40"/>
      <c r="L208" s="40"/>
      <c r="M208" s="40"/>
      <c r="N208" s="40"/>
    </row>
    <row r="209" spans="1:14" ht="23.25" x14ac:dyDescent="0.35">
      <c r="A209" s="771"/>
      <c r="B209" s="393" t="s">
        <v>1212</v>
      </c>
      <c r="C209" s="663">
        <v>2292</v>
      </c>
      <c r="D209" s="774"/>
      <c r="E209" s="40"/>
      <c r="F209" s="40"/>
      <c r="G209" s="40"/>
      <c r="H209" s="40"/>
      <c r="I209" s="40"/>
      <c r="J209" s="40"/>
      <c r="K209" s="40"/>
      <c r="L209" s="40"/>
      <c r="M209" s="40"/>
      <c r="N209" s="40"/>
    </row>
    <row r="210" spans="1:14" ht="23.25" x14ac:dyDescent="0.35">
      <c r="A210" s="771"/>
      <c r="B210" s="393" t="s">
        <v>1213</v>
      </c>
      <c r="C210" s="663">
        <v>12065</v>
      </c>
      <c r="D210" s="774"/>
      <c r="E210" s="40"/>
      <c r="F210" s="40"/>
      <c r="G210" s="40"/>
      <c r="H210" s="40"/>
      <c r="I210" s="40"/>
      <c r="J210" s="40"/>
      <c r="K210" s="40"/>
      <c r="L210" s="40"/>
      <c r="M210" s="40"/>
      <c r="N210" s="40"/>
    </row>
    <row r="211" spans="1:14" ht="23.25" x14ac:dyDescent="0.35">
      <c r="A211" s="771"/>
      <c r="B211" s="393" t="s">
        <v>1214</v>
      </c>
      <c r="C211" s="663">
        <v>33430</v>
      </c>
      <c r="D211" s="774"/>
      <c r="E211" s="40"/>
      <c r="F211" s="40"/>
      <c r="G211" s="40"/>
      <c r="H211" s="40"/>
      <c r="I211" s="40"/>
      <c r="J211" s="40"/>
      <c r="K211" s="40"/>
      <c r="L211" s="40"/>
      <c r="M211" s="40"/>
      <c r="N211" s="40"/>
    </row>
    <row r="212" spans="1:14" ht="23.25" x14ac:dyDescent="0.35">
      <c r="A212" s="771"/>
      <c r="B212" s="393" t="s">
        <v>1215</v>
      </c>
      <c r="C212" s="663">
        <v>1723</v>
      </c>
      <c r="D212" s="774"/>
      <c r="E212" s="40"/>
      <c r="F212" s="40"/>
      <c r="G212" s="40"/>
      <c r="H212" s="40"/>
      <c r="I212" s="40"/>
      <c r="J212" s="40"/>
      <c r="K212" s="40"/>
      <c r="L212" s="40"/>
      <c r="M212" s="40"/>
      <c r="N212" s="40"/>
    </row>
    <row r="213" spans="1:14" ht="23.25" x14ac:dyDescent="0.35">
      <c r="A213" s="771"/>
      <c r="B213" s="393" t="s">
        <v>1216</v>
      </c>
      <c r="C213" s="663">
        <v>100000</v>
      </c>
      <c r="D213" s="774"/>
      <c r="E213" s="40"/>
      <c r="F213" s="40"/>
      <c r="G213" s="40"/>
      <c r="H213" s="40"/>
      <c r="I213" s="40"/>
      <c r="J213" s="40"/>
      <c r="K213" s="40"/>
      <c r="L213" s="40"/>
      <c r="M213" s="40"/>
      <c r="N213" s="40"/>
    </row>
    <row r="214" spans="1:14" ht="23.25" x14ac:dyDescent="0.35">
      <c r="A214" s="771"/>
      <c r="B214" s="393" t="s">
        <v>1217</v>
      </c>
      <c r="C214" s="663">
        <v>271865</v>
      </c>
      <c r="D214" s="774"/>
      <c r="E214" s="40"/>
      <c r="F214" s="40"/>
      <c r="G214" s="40"/>
      <c r="H214" s="40"/>
      <c r="I214" s="40"/>
      <c r="J214" s="40"/>
      <c r="K214" s="40"/>
      <c r="L214" s="40"/>
      <c r="M214" s="40"/>
      <c r="N214" s="40"/>
    </row>
    <row r="215" spans="1:14" ht="23.25" x14ac:dyDescent="0.35">
      <c r="A215" s="771"/>
      <c r="B215" s="393" t="s">
        <v>1218</v>
      </c>
      <c r="C215" s="663">
        <v>58627</v>
      </c>
      <c r="D215" s="774"/>
      <c r="E215" s="40"/>
      <c r="F215" s="40"/>
      <c r="G215" s="40"/>
      <c r="H215" s="40"/>
      <c r="I215" s="40"/>
      <c r="J215" s="40"/>
      <c r="K215" s="40"/>
      <c r="L215" s="40"/>
      <c r="M215" s="40"/>
      <c r="N215" s="40"/>
    </row>
    <row r="216" spans="1:14" ht="23.25" x14ac:dyDescent="0.35">
      <c r="A216" s="772"/>
      <c r="B216" s="393" t="s">
        <v>1219</v>
      </c>
      <c r="C216" s="663">
        <v>3022</v>
      </c>
      <c r="D216" s="774"/>
      <c r="E216" s="40"/>
      <c r="F216" s="40"/>
      <c r="G216" s="40"/>
      <c r="H216" s="40"/>
      <c r="I216" s="40"/>
      <c r="J216" s="40"/>
      <c r="K216" s="40"/>
      <c r="L216" s="40"/>
      <c r="M216" s="40"/>
      <c r="N216" s="40"/>
    </row>
    <row r="217" spans="1:14" ht="23.25" x14ac:dyDescent="0.35">
      <c r="A217" s="770" t="s">
        <v>60</v>
      </c>
      <c r="B217" s="770"/>
      <c r="C217" s="655">
        <f>SUM(C202:C216)</f>
        <v>537115</v>
      </c>
      <c r="D217" s="670"/>
      <c r="E217" s="40"/>
      <c r="F217" s="40"/>
      <c r="G217" s="40"/>
      <c r="H217" s="40"/>
      <c r="I217" s="40"/>
      <c r="J217" s="40"/>
      <c r="K217" s="40"/>
      <c r="L217" s="40"/>
      <c r="M217" s="40"/>
      <c r="N217" s="40"/>
    </row>
    <row r="218" spans="1:14" ht="23.25" x14ac:dyDescent="0.35">
      <c r="A218" s="40"/>
      <c r="B218" s="402" t="s">
        <v>864</v>
      </c>
      <c r="C218" s="663">
        <v>0</v>
      </c>
      <c r="D218" s="674"/>
      <c r="E218" s="40"/>
      <c r="F218" s="40"/>
      <c r="G218" s="40"/>
      <c r="H218" s="40"/>
      <c r="I218" s="40"/>
      <c r="J218" s="40"/>
      <c r="K218" s="40"/>
      <c r="L218" s="40"/>
      <c r="M218" s="40"/>
      <c r="N218" s="40">
        <f>172940*1.27</f>
        <v>219633.80000000002</v>
      </c>
    </row>
    <row r="219" spans="1:14" ht="23.25" x14ac:dyDescent="0.35">
      <c r="A219" s="682"/>
      <c r="B219" s="683" t="s">
        <v>61</v>
      </c>
      <c r="C219" s="663">
        <v>0</v>
      </c>
      <c r="D219" s="674"/>
      <c r="E219" s="40"/>
      <c r="F219" s="40"/>
      <c r="G219" s="40"/>
      <c r="H219" s="40"/>
      <c r="I219" s="40"/>
      <c r="J219" s="40"/>
      <c r="K219" s="40"/>
      <c r="L219" s="40"/>
      <c r="M219" s="40"/>
      <c r="N219" s="40"/>
    </row>
    <row r="220" spans="1:14" ht="23.25" x14ac:dyDescent="0.35">
      <c r="A220" s="679"/>
      <c r="B220" s="679"/>
      <c r="C220" s="680"/>
      <c r="D220" s="681"/>
      <c r="E220" s="40"/>
      <c r="F220" s="40"/>
      <c r="G220" s="40"/>
      <c r="H220" s="40"/>
      <c r="I220" s="40"/>
      <c r="J220" s="40"/>
      <c r="K220" s="40"/>
      <c r="L220" s="40"/>
      <c r="M220" s="40"/>
      <c r="N220" s="40"/>
    </row>
    <row r="221" spans="1:14" s="391" customFormat="1" ht="23.25" x14ac:dyDescent="0.35">
      <c r="A221" s="388"/>
      <c r="B221" s="389" t="s">
        <v>67</v>
      </c>
      <c r="C221" s="390"/>
      <c r="D221" s="687"/>
      <c r="E221" s="388"/>
      <c r="F221" s="388"/>
      <c r="G221" s="388"/>
      <c r="H221" s="388"/>
      <c r="I221" s="388"/>
      <c r="J221" s="388"/>
      <c r="K221" s="388"/>
      <c r="L221" s="388"/>
      <c r="M221" s="388"/>
      <c r="N221" s="388"/>
    </row>
    <row r="222" spans="1:14" ht="23.25" x14ac:dyDescent="0.35">
      <c r="A222" s="49"/>
      <c r="B222" s="394" t="s">
        <v>55</v>
      </c>
      <c r="C222" s="661">
        <v>0</v>
      </c>
      <c r="D222" s="675"/>
      <c r="E222" s="40"/>
      <c r="F222" s="40"/>
      <c r="G222" s="40"/>
      <c r="H222" s="40"/>
      <c r="I222" s="40"/>
      <c r="J222" s="40"/>
      <c r="K222" s="40"/>
      <c r="L222" s="40"/>
      <c r="M222" s="40"/>
      <c r="N222" s="40"/>
    </row>
    <row r="223" spans="1:14" ht="23.25" customHeight="1" x14ac:dyDescent="0.35">
      <c r="A223" s="777" t="s">
        <v>58</v>
      </c>
      <c r="B223" s="49" t="s">
        <v>1220</v>
      </c>
      <c r="C223" s="661">
        <v>4583</v>
      </c>
      <c r="D223" s="778" t="s">
        <v>1142</v>
      </c>
      <c r="E223" s="40"/>
      <c r="F223" s="40"/>
      <c r="G223" s="40"/>
      <c r="H223" s="40"/>
      <c r="I223" s="40"/>
      <c r="J223" s="40"/>
      <c r="K223" s="40"/>
      <c r="L223" s="40"/>
      <c r="M223" s="40"/>
      <c r="N223" s="40"/>
    </row>
    <row r="224" spans="1:14" ht="23.25" x14ac:dyDescent="0.35">
      <c r="A224" s="771"/>
      <c r="B224" s="49" t="s">
        <v>1221</v>
      </c>
      <c r="C224" s="661">
        <v>12065</v>
      </c>
      <c r="D224" s="778"/>
      <c r="E224" s="40"/>
      <c r="F224" s="40"/>
      <c r="G224" s="40"/>
      <c r="H224" s="40"/>
      <c r="I224" s="40"/>
      <c r="J224" s="40"/>
      <c r="K224" s="40"/>
      <c r="L224" s="40"/>
      <c r="M224" s="40"/>
      <c r="N224" s="40"/>
    </row>
    <row r="225" spans="1:14" ht="23.25" x14ac:dyDescent="0.35">
      <c r="A225" s="771"/>
      <c r="B225" s="49" t="s">
        <v>1222</v>
      </c>
      <c r="C225" s="661">
        <v>5335</v>
      </c>
      <c r="D225" s="778"/>
      <c r="E225" s="40"/>
      <c r="F225" s="40"/>
      <c r="G225" s="40"/>
      <c r="H225" s="40"/>
      <c r="I225" s="40"/>
      <c r="J225" s="40"/>
      <c r="K225" s="40"/>
      <c r="L225" s="40"/>
      <c r="M225" s="40"/>
      <c r="N225" s="40"/>
    </row>
    <row r="226" spans="1:14" ht="23.25" x14ac:dyDescent="0.35">
      <c r="A226" s="771"/>
      <c r="B226" s="49" t="s">
        <v>1223</v>
      </c>
      <c r="C226" s="661">
        <v>12936</v>
      </c>
      <c r="D226" s="778"/>
      <c r="E226" s="40"/>
      <c r="F226" s="40"/>
      <c r="G226" s="40"/>
      <c r="H226" s="40"/>
      <c r="I226" s="40"/>
      <c r="J226" s="40"/>
      <c r="K226" s="40"/>
      <c r="L226" s="40"/>
      <c r="M226" s="40"/>
      <c r="N226" s="40"/>
    </row>
    <row r="227" spans="1:14" ht="23.25" x14ac:dyDescent="0.35">
      <c r="A227" s="771"/>
      <c r="B227" s="49" t="s">
        <v>1224</v>
      </c>
      <c r="C227" s="661">
        <v>89620</v>
      </c>
      <c r="D227" s="778"/>
      <c r="E227" s="40"/>
      <c r="F227" s="40"/>
      <c r="G227" s="40"/>
      <c r="H227" s="40"/>
      <c r="I227" s="40"/>
      <c r="J227" s="40"/>
      <c r="K227" s="40"/>
      <c r="L227" s="40"/>
      <c r="M227" s="40"/>
      <c r="N227" s="40"/>
    </row>
    <row r="228" spans="1:14" ht="23.25" x14ac:dyDescent="0.35">
      <c r="A228" s="771"/>
      <c r="B228" s="49" t="s">
        <v>1225</v>
      </c>
      <c r="C228" s="661">
        <v>454033</v>
      </c>
      <c r="D228" s="778"/>
      <c r="E228" s="40"/>
      <c r="F228" s="40"/>
      <c r="G228" s="40"/>
      <c r="H228" s="40"/>
      <c r="I228" s="40"/>
      <c r="J228" s="40"/>
      <c r="K228" s="40"/>
      <c r="L228" s="40"/>
      <c r="M228" s="40"/>
      <c r="N228" s="40"/>
    </row>
    <row r="229" spans="1:14" ht="23.25" x14ac:dyDescent="0.35">
      <c r="A229" s="771"/>
      <c r="B229" s="49" t="s">
        <v>1226</v>
      </c>
      <c r="C229" s="661">
        <v>12065</v>
      </c>
      <c r="D229" s="778"/>
      <c r="E229" s="40"/>
      <c r="F229" s="40"/>
      <c r="G229" s="40"/>
      <c r="H229" s="40"/>
      <c r="I229" s="40"/>
      <c r="J229" s="40"/>
      <c r="K229" s="40"/>
      <c r="L229" s="40"/>
      <c r="M229" s="40"/>
      <c r="N229" s="40"/>
    </row>
    <row r="230" spans="1:14" ht="23.25" x14ac:dyDescent="0.35">
      <c r="A230" s="772"/>
      <c r="B230" s="49" t="s">
        <v>1227</v>
      </c>
      <c r="C230" s="661">
        <v>21062</v>
      </c>
      <c r="D230" s="778"/>
      <c r="E230" s="40"/>
      <c r="F230" s="40"/>
      <c r="G230" s="40"/>
      <c r="H230" s="40"/>
      <c r="I230" s="40"/>
      <c r="J230" s="40"/>
      <c r="K230" s="40"/>
      <c r="L230" s="40"/>
      <c r="M230" s="40"/>
      <c r="N230" s="40"/>
    </row>
    <row r="231" spans="1:14" ht="23.25" x14ac:dyDescent="0.35">
      <c r="A231" s="770" t="s">
        <v>60</v>
      </c>
      <c r="B231" s="770"/>
      <c r="C231" s="655">
        <f>SUM(C222:C230)</f>
        <v>611699</v>
      </c>
      <c r="D231" s="670"/>
      <c r="E231" s="40"/>
      <c r="F231" s="40"/>
      <c r="G231" s="40"/>
      <c r="H231" s="40"/>
      <c r="I231" s="40"/>
      <c r="J231" s="40"/>
      <c r="K231" s="40"/>
      <c r="L231" s="40"/>
      <c r="M231" s="40"/>
      <c r="N231" s="40"/>
    </row>
    <row r="232" spans="1:14" ht="23.25" x14ac:dyDescent="0.35">
      <c r="A232" s="40"/>
      <c r="B232" s="402" t="s">
        <v>864</v>
      </c>
      <c r="C232" s="665">
        <v>0</v>
      </c>
      <c r="D232" s="672"/>
      <c r="E232" s="40"/>
      <c r="F232" s="40"/>
      <c r="G232" s="40"/>
      <c r="H232" s="40"/>
      <c r="I232" s="40"/>
      <c r="J232" s="40"/>
      <c r="K232" s="40"/>
      <c r="L232" s="40"/>
      <c r="M232" s="40"/>
      <c r="N232" s="40"/>
    </row>
    <row r="233" spans="1:14" ht="23.25" x14ac:dyDescent="0.35">
      <c r="A233" s="40"/>
      <c r="B233" s="779" t="s">
        <v>61</v>
      </c>
      <c r="C233" s="780"/>
      <c r="D233" s="669"/>
      <c r="E233" s="40"/>
      <c r="F233" s="40"/>
      <c r="G233" s="40"/>
      <c r="H233" s="40"/>
      <c r="I233" s="40"/>
      <c r="J233" s="40"/>
      <c r="K233" s="40"/>
      <c r="L233" s="40"/>
      <c r="M233" s="40"/>
      <c r="N233" s="40"/>
    </row>
    <row r="234" spans="1:14" ht="87.75" customHeight="1" x14ac:dyDescent="0.35">
      <c r="A234" s="53" t="s">
        <v>58</v>
      </c>
      <c r="B234" s="49" t="s">
        <v>68</v>
      </c>
      <c r="C234" s="661">
        <v>378408</v>
      </c>
      <c r="D234" s="676" t="s">
        <v>1142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</row>
    <row r="235" spans="1:14" ht="23.25" x14ac:dyDescent="0.35">
      <c r="A235" s="781" t="s">
        <v>66</v>
      </c>
      <c r="B235" s="782"/>
      <c r="C235" s="666">
        <f>SUM(C234:C234)</f>
        <v>378408</v>
      </c>
      <c r="D235" s="668"/>
      <c r="E235" s="40"/>
      <c r="F235" s="40"/>
      <c r="G235" s="40"/>
      <c r="H235" s="40"/>
      <c r="I235" s="40"/>
      <c r="J235" s="40"/>
      <c r="K235" s="40"/>
      <c r="L235" s="40"/>
      <c r="M235" s="40"/>
      <c r="N235" s="40"/>
    </row>
    <row r="236" spans="1:14" ht="23.25" x14ac:dyDescent="0.35">
      <c r="A236" s="40"/>
      <c r="B236" s="40"/>
      <c r="C236" s="363"/>
      <c r="D236" s="677"/>
      <c r="E236" s="40"/>
      <c r="F236" s="43" t="e">
        <f>+C92+C95+C106+C117+#REF!+#REF!+C181+C235</f>
        <v>#REF!</v>
      </c>
      <c r="G236" s="40"/>
      <c r="H236" s="40"/>
      <c r="I236" s="40"/>
      <c r="J236" s="40"/>
      <c r="K236" s="40"/>
      <c r="L236" s="40"/>
      <c r="M236" s="40"/>
      <c r="N236" s="40"/>
    </row>
    <row r="237" spans="1:14" ht="23.25" x14ac:dyDescent="0.35">
      <c r="A237" s="775" t="s">
        <v>865</v>
      </c>
      <c r="B237" s="776"/>
      <c r="C237" s="667">
        <f>+C92+C95+C106+C117+C148+C165+C181+C197+C217+C231+C235</f>
        <v>120184827</v>
      </c>
      <c r="D237" s="671"/>
      <c r="E237" s="40"/>
      <c r="F237" s="40"/>
      <c r="G237" s="46">
        <f>+C235+F105</f>
        <v>19667520</v>
      </c>
      <c r="H237" s="40"/>
      <c r="I237" s="40"/>
      <c r="J237" s="40"/>
      <c r="K237" s="40"/>
      <c r="L237" s="40"/>
      <c r="M237" s="40"/>
      <c r="N237" s="40"/>
    </row>
    <row r="238" spans="1:14" ht="23.25" x14ac:dyDescent="0.35">
      <c r="A238" s="40"/>
      <c r="B238" s="40"/>
      <c r="C238" s="364"/>
      <c r="D238" s="50"/>
      <c r="E238" s="40">
        <f>+[2]Önkormányzat!F13</f>
        <v>41881489</v>
      </c>
      <c r="F238" s="50">
        <f>+E238-C238</f>
        <v>41881489</v>
      </c>
      <c r="G238" s="40"/>
      <c r="H238" s="40"/>
      <c r="I238" s="40"/>
      <c r="J238" s="40"/>
      <c r="K238" s="40"/>
      <c r="L238" s="40"/>
      <c r="M238" s="40"/>
      <c r="N238" s="40"/>
    </row>
    <row r="239" spans="1:14" ht="23.25" x14ac:dyDescent="0.35">
      <c r="A239" s="40"/>
      <c r="B239" s="40"/>
      <c r="C239" s="364"/>
      <c r="D239" s="50"/>
      <c r="E239" s="40">
        <f>+[2]Önkormányzat!F17</f>
        <v>74838106</v>
      </c>
      <c r="F239" s="50">
        <f>+E239-C239</f>
        <v>74838106</v>
      </c>
      <c r="G239" s="40"/>
      <c r="H239" s="40"/>
      <c r="I239" s="40"/>
      <c r="J239" s="40"/>
      <c r="K239" s="40"/>
      <c r="L239" s="40"/>
      <c r="M239" s="40"/>
      <c r="N239" s="40"/>
    </row>
    <row r="240" spans="1:14" ht="23.25" x14ac:dyDescent="0.35">
      <c r="A240" s="40"/>
      <c r="B240" s="40"/>
      <c r="C240" s="364"/>
      <c r="D240" s="50"/>
      <c r="E240" s="40">
        <f>+[2]Önkormányzat!F20</f>
        <v>14585521</v>
      </c>
      <c r="F240" s="50">
        <f>+E240-C240</f>
        <v>14585521</v>
      </c>
      <c r="G240" s="40"/>
      <c r="H240" s="40"/>
      <c r="I240" s="40"/>
      <c r="J240" s="40"/>
      <c r="K240" s="40"/>
      <c r="L240" s="40"/>
      <c r="M240" s="40"/>
      <c r="N240" s="40"/>
    </row>
    <row r="241" spans="1:14" ht="23.25" x14ac:dyDescent="0.35">
      <c r="A241" s="40"/>
      <c r="B241" s="40"/>
      <c r="C241" s="363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</row>
    <row r="242" spans="1:14" ht="23.25" x14ac:dyDescent="0.35">
      <c r="A242" s="40"/>
      <c r="B242" s="40"/>
      <c r="C242" s="363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</row>
    <row r="243" spans="1:14" ht="23.25" x14ac:dyDescent="0.35">
      <c r="A243" s="40"/>
      <c r="B243" s="40"/>
      <c r="C243" s="363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</row>
  </sheetData>
  <mergeCells count="38">
    <mergeCell ref="D97:D105"/>
    <mergeCell ref="A103:A105"/>
    <mergeCell ref="A1:C1"/>
    <mergeCell ref="A90:A91"/>
    <mergeCell ref="A92:B92"/>
    <mergeCell ref="B93:C93"/>
    <mergeCell ref="A95:B95"/>
    <mergeCell ref="B96:C96"/>
    <mergeCell ref="A97:A102"/>
    <mergeCell ref="D5:D65"/>
    <mergeCell ref="D66:D91"/>
    <mergeCell ref="A5:A65"/>
    <mergeCell ref="A66:A89"/>
    <mergeCell ref="D154:D164"/>
    <mergeCell ref="A165:B165"/>
    <mergeCell ref="A171:A180"/>
    <mergeCell ref="D171:D180"/>
    <mergeCell ref="A106:B106"/>
    <mergeCell ref="A110:A116"/>
    <mergeCell ref="D110:D116"/>
    <mergeCell ref="A117:B117"/>
    <mergeCell ref="A123:A147"/>
    <mergeCell ref="D123:D147"/>
    <mergeCell ref="A148:B148"/>
    <mergeCell ref="A154:A164"/>
    <mergeCell ref="A237:B237"/>
    <mergeCell ref="A217:B217"/>
    <mergeCell ref="A223:A230"/>
    <mergeCell ref="D223:D230"/>
    <mergeCell ref="A231:B231"/>
    <mergeCell ref="B233:C233"/>
    <mergeCell ref="A235:B235"/>
    <mergeCell ref="A181:B181"/>
    <mergeCell ref="A187:A196"/>
    <mergeCell ref="D187:D196"/>
    <mergeCell ref="A197:B197"/>
    <mergeCell ref="A203:A216"/>
    <mergeCell ref="D203:D216"/>
  </mergeCells>
  <printOptions horizontalCentered="1" verticalCentered="1"/>
  <pageMargins left="0.70866141732283472" right="0.70866141732283472" top="0.39370078740157483" bottom="0.78740157480314965" header="0.15748031496062992" footer="0.55118110236220474"/>
  <pageSetup paperSize="9" scale="42" orientation="portrait" r:id="rId1"/>
  <headerFooter>
    <oddHeader>&amp;CDunaharaszti Város Önkormányzat 2016. évi zárszámadás&amp;R&amp;A</oddHeader>
    <oddFooter>&amp;C&amp;P/&amp;N</oddFooter>
  </headerFooter>
  <rowBreaks count="3" manualBreakCount="3">
    <brk id="65" max="3" man="1"/>
    <brk id="119" max="3" man="1"/>
    <brk id="18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view="pageBreakPreview" topLeftCell="A67" zoomScale="80" zoomScaleNormal="100" zoomScaleSheetLayoutView="80" workbookViewId="0">
      <selection activeCell="H83" sqref="H83"/>
    </sheetView>
  </sheetViews>
  <sheetFormatPr defaultColWidth="9.140625" defaultRowHeight="15" x14ac:dyDescent="0.25"/>
  <cols>
    <col min="1" max="1" width="9.140625" style="199"/>
    <col min="2" max="2" width="4.5703125" style="199" customWidth="1"/>
    <col min="3" max="3" width="81.5703125" style="199" customWidth="1"/>
    <col min="4" max="4" width="20.85546875" style="199" customWidth="1"/>
    <col min="5" max="5" width="20.7109375" style="199" customWidth="1"/>
    <col min="6" max="6" width="18.7109375" style="199" customWidth="1"/>
    <col min="7" max="7" width="15.85546875" style="199" customWidth="1"/>
    <col min="8" max="11" width="9.140625" style="199"/>
    <col min="12" max="12" width="18.7109375" style="199" customWidth="1"/>
    <col min="13" max="16384" width="9.140625" style="199"/>
  </cols>
  <sheetData>
    <row r="1" spans="1:7" ht="23.25" x14ac:dyDescent="0.35">
      <c r="A1" s="804" t="s">
        <v>69</v>
      </c>
      <c r="B1" s="804"/>
      <c r="C1" s="804"/>
      <c r="D1" s="804"/>
      <c r="E1" s="404"/>
    </row>
    <row r="2" spans="1:7" ht="23.25" x14ac:dyDescent="0.35">
      <c r="A2" s="404"/>
      <c r="B2" s="405"/>
      <c r="C2" s="404"/>
      <c r="D2" s="404"/>
      <c r="E2" s="404"/>
    </row>
    <row r="3" spans="1:7" ht="42" x14ac:dyDescent="0.25">
      <c r="A3" s="406"/>
      <c r="B3" s="407" t="s">
        <v>70</v>
      </c>
      <c r="C3" s="408" t="s">
        <v>56</v>
      </c>
      <c r="D3" s="409" t="s">
        <v>57</v>
      </c>
      <c r="E3" s="702"/>
    </row>
    <row r="4" spans="1:7" ht="15" customHeight="1" x14ac:dyDescent="0.25">
      <c r="A4" s="805" t="s">
        <v>71</v>
      </c>
      <c r="B4" s="410" t="s">
        <v>3</v>
      </c>
      <c r="C4" s="411" t="s">
        <v>1228</v>
      </c>
      <c r="D4" s="703">
        <v>35000000</v>
      </c>
      <c r="E4" s="808" t="s">
        <v>1229</v>
      </c>
    </row>
    <row r="5" spans="1:7" x14ac:dyDescent="0.25">
      <c r="A5" s="806"/>
      <c r="B5" s="410" t="s">
        <v>4</v>
      </c>
      <c r="C5" s="412" t="s">
        <v>1230</v>
      </c>
      <c r="D5" s="704">
        <v>27000000</v>
      </c>
      <c r="E5" s="809"/>
    </row>
    <row r="6" spans="1:7" x14ac:dyDescent="0.25">
      <c r="A6" s="806"/>
      <c r="B6" s="410" t="s">
        <v>5</v>
      </c>
      <c r="C6" s="412" t="s">
        <v>1231</v>
      </c>
      <c r="D6" s="704">
        <v>27000000</v>
      </c>
      <c r="E6" s="809"/>
    </row>
    <row r="7" spans="1:7" x14ac:dyDescent="0.25">
      <c r="A7" s="806"/>
      <c r="B7" s="410" t="s">
        <v>6</v>
      </c>
      <c r="C7" s="412" t="s">
        <v>1232</v>
      </c>
      <c r="D7" s="704">
        <v>30000000</v>
      </c>
      <c r="E7" s="809"/>
    </row>
    <row r="8" spans="1:7" x14ac:dyDescent="0.25">
      <c r="A8" s="806"/>
      <c r="B8" s="410" t="s">
        <v>7</v>
      </c>
      <c r="C8" s="412" t="s">
        <v>1233</v>
      </c>
      <c r="D8" s="704">
        <v>10000000</v>
      </c>
      <c r="E8" s="809"/>
    </row>
    <row r="9" spans="1:7" x14ac:dyDescent="0.25">
      <c r="A9" s="806"/>
      <c r="B9" s="410" t="s">
        <v>8</v>
      </c>
      <c r="C9" s="412" t="s">
        <v>1234</v>
      </c>
      <c r="D9" s="704">
        <v>5000000</v>
      </c>
      <c r="E9" s="809"/>
      <c r="G9" s="413"/>
    </row>
    <row r="10" spans="1:7" x14ac:dyDescent="0.25">
      <c r="A10" s="806"/>
      <c r="B10" s="410" t="s">
        <v>9</v>
      </c>
      <c r="C10" s="414" t="s">
        <v>1235</v>
      </c>
      <c r="D10" s="704">
        <v>10000000</v>
      </c>
      <c r="E10" s="809"/>
      <c r="G10" s="413"/>
    </row>
    <row r="11" spans="1:7" x14ac:dyDescent="0.25">
      <c r="A11" s="806"/>
      <c r="B11" s="410" t="s">
        <v>23</v>
      </c>
      <c r="C11" s="412" t="s">
        <v>1295</v>
      </c>
      <c r="D11" s="704">
        <v>0</v>
      </c>
      <c r="E11" s="809"/>
    </row>
    <row r="12" spans="1:7" ht="25.5" x14ac:dyDescent="0.25">
      <c r="A12" s="807"/>
      <c r="B12" s="410" t="s">
        <v>25</v>
      </c>
      <c r="C12" s="415" t="s">
        <v>1236</v>
      </c>
      <c r="D12" s="705">
        <v>2000000</v>
      </c>
      <c r="E12" s="810"/>
    </row>
    <row r="13" spans="1:7" x14ac:dyDescent="0.25">
      <c r="A13" s="553"/>
      <c r="B13" s="410" t="s">
        <v>27</v>
      </c>
      <c r="C13" s="412" t="s">
        <v>1237</v>
      </c>
      <c r="D13" s="704">
        <v>2500000</v>
      </c>
      <c r="E13" s="711"/>
      <c r="F13" s="199" t="s">
        <v>1238</v>
      </c>
    </row>
    <row r="14" spans="1:7" ht="15.75" customHeight="1" x14ac:dyDescent="0.25">
      <c r="A14" s="811" t="s">
        <v>72</v>
      </c>
      <c r="B14" s="416" t="s">
        <v>3</v>
      </c>
      <c r="C14" s="417" t="s">
        <v>1239</v>
      </c>
      <c r="D14" s="703">
        <v>1000000</v>
      </c>
      <c r="E14" s="808" t="s">
        <v>1229</v>
      </c>
      <c r="F14" s="413">
        <f>SUM(D4:D13)+D71+D72+D73</f>
        <v>160500000</v>
      </c>
    </row>
    <row r="15" spans="1:7" ht="30.6" customHeight="1" x14ac:dyDescent="0.25">
      <c r="A15" s="811"/>
      <c r="B15" s="410" t="s">
        <v>4</v>
      </c>
      <c r="C15" s="418" t="s">
        <v>1240</v>
      </c>
      <c r="D15" s="704">
        <v>2000000</v>
      </c>
      <c r="E15" s="809"/>
    </row>
    <row r="16" spans="1:7" ht="15.75" customHeight="1" x14ac:dyDescent="0.25">
      <c r="A16" s="811"/>
      <c r="B16" s="410" t="s">
        <v>5</v>
      </c>
      <c r="C16" s="418" t="s">
        <v>1239</v>
      </c>
      <c r="D16" s="704">
        <v>19275184</v>
      </c>
      <c r="E16" s="809"/>
    </row>
    <row r="17" spans="1:6" ht="34.5" customHeight="1" x14ac:dyDescent="0.25">
      <c r="A17" s="811"/>
      <c r="B17" s="410" t="s">
        <v>6</v>
      </c>
      <c r="C17" s="418" t="s">
        <v>1241</v>
      </c>
      <c r="D17" s="704">
        <v>2500000</v>
      </c>
      <c r="E17" s="809"/>
    </row>
    <row r="18" spans="1:6" x14ac:dyDescent="0.25">
      <c r="A18" s="811"/>
      <c r="B18" s="410" t="s">
        <v>7</v>
      </c>
      <c r="C18" s="418" t="s">
        <v>1242</v>
      </c>
      <c r="D18" s="704">
        <v>6274816</v>
      </c>
      <c r="E18" s="809"/>
    </row>
    <row r="19" spans="1:6" x14ac:dyDescent="0.25">
      <c r="A19" s="811"/>
      <c r="B19" s="410" t="s">
        <v>8</v>
      </c>
      <c r="C19" s="418" t="s">
        <v>1243</v>
      </c>
      <c r="D19" s="704">
        <v>5000000</v>
      </c>
      <c r="E19" s="809"/>
    </row>
    <row r="20" spans="1:6" ht="15.75" customHeight="1" x14ac:dyDescent="0.25">
      <c r="A20" s="811"/>
      <c r="B20" s="410" t="s">
        <v>9</v>
      </c>
      <c r="C20" s="419" t="s">
        <v>1244</v>
      </c>
      <c r="D20" s="704">
        <v>10400000</v>
      </c>
      <c r="E20" s="809"/>
    </row>
    <row r="21" spans="1:6" x14ac:dyDescent="0.25">
      <c r="A21" s="811"/>
      <c r="B21" s="410" t="s">
        <v>23</v>
      </c>
      <c r="C21" s="420" t="s">
        <v>1245</v>
      </c>
      <c r="D21" s="704">
        <v>1000000</v>
      </c>
      <c r="E21" s="809"/>
    </row>
    <row r="22" spans="1:6" x14ac:dyDescent="0.25">
      <c r="A22" s="811"/>
      <c r="B22" s="410" t="s">
        <v>25</v>
      </c>
      <c r="C22" s="420" t="s">
        <v>1246</v>
      </c>
      <c r="D22" s="704">
        <f>8175000-D23-D24</f>
        <v>4375000</v>
      </c>
      <c r="E22" s="809"/>
    </row>
    <row r="23" spans="1:6" ht="15.75" customHeight="1" x14ac:dyDescent="0.25">
      <c r="A23" s="811"/>
      <c r="B23" s="410" t="s">
        <v>27</v>
      </c>
      <c r="C23" s="419" t="s">
        <v>1247</v>
      </c>
      <c r="D23" s="704">
        <v>2400000</v>
      </c>
      <c r="E23" s="809"/>
    </row>
    <row r="24" spans="1:6" ht="15.75" customHeight="1" x14ac:dyDescent="0.25">
      <c r="A24" s="811"/>
      <c r="B24" s="410" t="s">
        <v>31</v>
      </c>
      <c r="C24" s="419" t="s">
        <v>1248</v>
      </c>
      <c r="D24" s="704">
        <v>1400000</v>
      </c>
      <c r="E24" s="809"/>
    </row>
    <row r="25" spans="1:6" ht="15.75" customHeight="1" x14ac:dyDescent="0.25">
      <c r="A25" s="811"/>
      <c r="B25" s="410" t="s">
        <v>33</v>
      </c>
      <c r="C25" s="419" t="s">
        <v>1249</v>
      </c>
      <c r="D25" s="704">
        <v>1000000</v>
      </c>
      <c r="E25" s="809"/>
      <c r="F25" s="413"/>
    </row>
    <row r="26" spans="1:6" ht="15.75" customHeight="1" x14ac:dyDescent="0.25">
      <c r="A26" s="811"/>
      <c r="B26" s="410" t="s">
        <v>34</v>
      </c>
      <c r="C26" s="419" t="s">
        <v>1250</v>
      </c>
      <c r="D26" s="704">
        <v>2000000</v>
      </c>
      <c r="E26" s="809"/>
    </row>
    <row r="27" spans="1:6" ht="15.75" customHeight="1" x14ac:dyDescent="0.25">
      <c r="A27" s="811"/>
      <c r="B27" s="410" t="s">
        <v>36</v>
      </c>
      <c r="C27" s="419" t="s">
        <v>1251</v>
      </c>
      <c r="D27" s="704">
        <v>12000000</v>
      </c>
      <c r="E27" s="809"/>
    </row>
    <row r="28" spans="1:6" ht="15.75" customHeight="1" x14ac:dyDescent="0.25">
      <c r="A28" s="811"/>
      <c r="B28" s="410" t="s">
        <v>38</v>
      </c>
      <c r="C28" s="419" t="s">
        <v>1252</v>
      </c>
      <c r="D28" s="704">
        <v>2000000</v>
      </c>
      <c r="E28" s="809"/>
    </row>
    <row r="29" spans="1:6" ht="15.75" customHeight="1" x14ac:dyDescent="0.25">
      <c r="A29" s="811"/>
      <c r="B29" s="410" t="s">
        <v>40</v>
      </c>
      <c r="C29" s="419" t="s">
        <v>1253</v>
      </c>
      <c r="D29" s="704">
        <v>2000000</v>
      </c>
      <c r="E29" s="809"/>
    </row>
    <row r="30" spans="1:6" ht="15.75" customHeight="1" x14ac:dyDescent="0.25">
      <c r="A30" s="811"/>
      <c r="B30" s="410" t="s">
        <v>50</v>
      </c>
      <c r="C30" s="419" t="s">
        <v>1254</v>
      </c>
      <c r="D30" s="704">
        <v>500000</v>
      </c>
      <c r="E30" s="809"/>
    </row>
    <row r="31" spans="1:6" ht="15.75" customHeight="1" x14ac:dyDescent="0.25">
      <c r="A31" s="811"/>
      <c r="B31" s="410" t="s">
        <v>52</v>
      </c>
      <c r="C31" s="419" t="s">
        <v>1255</v>
      </c>
      <c r="D31" s="704">
        <v>750000</v>
      </c>
      <c r="E31" s="809"/>
    </row>
    <row r="32" spans="1:6" ht="15.75" customHeight="1" x14ac:dyDescent="0.25">
      <c r="A32" s="811"/>
      <c r="B32" s="410" t="s">
        <v>77</v>
      </c>
      <c r="C32" s="419" t="s">
        <v>1256</v>
      </c>
      <c r="D32" s="704">
        <v>1000000</v>
      </c>
      <c r="E32" s="809"/>
    </row>
    <row r="33" spans="1:5" x14ac:dyDescent="0.25">
      <c r="A33" s="811"/>
      <c r="B33" s="410" t="s">
        <v>78</v>
      </c>
      <c r="C33" s="412" t="s">
        <v>1257</v>
      </c>
      <c r="D33" s="704">
        <v>1500000</v>
      </c>
      <c r="E33" s="809"/>
    </row>
    <row r="34" spans="1:5" ht="15.75" customHeight="1" x14ac:dyDescent="0.25">
      <c r="A34" s="811"/>
      <c r="B34" s="410" t="s">
        <v>79</v>
      </c>
      <c r="C34" s="412" t="s">
        <v>1258</v>
      </c>
      <c r="D34" s="704">
        <v>1500000</v>
      </c>
      <c r="E34" s="809"/>
    </row>
    <row r="35" spans="1:5" ht="15.75" customHeight="1" x14ac:dyDescent="0.25">
      <c r="A35" s="811"/>
      <c r="B35" s="410" t="s">
        <v>80</v>
      </c>
      <c r="C35" s="419" t="s">
        <v>1259</v>
      </c>
      <c r="D35" s="704">
        <v>4000000</v>
      </c>
      <c r="E35" s="809"/>
    </row>
    <row r="36" spans="1:5" ht="15.75" customHeight="1" x14ac:dyDescent="0.25">
      <c r="A36" s="811"/>
      <c r="B36" s="410" t="s">
        <v>81</v>
      </c>
      <c r="C36" s="419" t="s">
        <v>1260</v>
      </c>
      <c r="D36" s="704">
        <v>33350000</v>
      </c>
      <c r="E36" s="809"/>
    </row>
    <row r="37" spans="1:5" ht="15.75" customHeight="1" x14ac:dyDescent="0.25">
      <c r="A37" s="811"/>
      <c r="B37" s="410" t="s">
        <v>82</v>
      </c>
      <c r="C37" s="419" t="s">
        <v>1261</v>
      </c>
      <c r="D37" s="704">
        <v>4000000</v>
      </c>
      <c r="E37" s="809"/>
    </row>
    <row r="38" spans="1:5" ht="15.75" customHeight="1" x14ac:dyDescent="0.25">
      <c r="A38" s="811"/>
      <c r="B38" s="410" t="s">
        <v>83</v>
      </c>
      <c r="C38" s="419" t="s">
        <v>1262</v>
      </c>
      <c r="D38" s="704">
        <v>18675000</v>
      </c>
      <c r="E38" s="809"/>
    </row>
    <row r="39" spans="1:5" ht="15.75" customHeight="1" x14ac:dyDescent="0.25">
      <c r="A39" s="811"/>
      <c r="B39" s="410" t="s">
        <v>84</v>
      </c>
      <c r="C39" s="419" t="s">
        <v>75</v>
      </c>
      <c r="D39" s="704">
        <v>63000000</v>
      </c>
      <c r="E39" s="809"/>
    </row>
    <row r="40" spans="1:5" ht="63" x14ac:dyDescent="0.25">
      <c r="A40" s="811"/>
      <c r="B40" s="410" t="s">
        <v>85</v>
      </c>
      <c r="C40" s="419" t="s">
        <v>1263</v>
      </c>
      <c r="D40" s="704">
        <v>28737033</v>
      </c>
      <c r="E40" s="809"/>
    </row>
    <row r="41" spans="1:5" ht="15.75" customHeight="1" x14ac:dyDescent="0.25">
      <c r="A41" s="811"/>
      <c r="B41" s="410" t="s">
        <v>86</v>
      </c>
      <c r="C41" s="419" t="s">
        <v>1264</v>
      </c>
      <c r="D41" s="704">
        <v>39330000</v>
      </c>
      <c r="E41" s="809"/>
    </row>
    <row r="42" spans="1:5" ht="15.75" customHeight="1" x14ac:dyDescent="0.25">
      <c r="A42" s="811"/>
      <c r="B42" s="410" t="s">
        <v>643</v>
      </c>
      <c r="C42" s="419" t="s">
        <v>1265</v>
      </c>
      <c r="D42" s="704">
        <v>12075000</v>
      </c>
      <c r="E42" s="809"/>
    </row>
    <row r="43" spans="1:5" ht="15.75" customHeight="1" x14ac:dyDescent="0.25">
      <c r="A43" s="811"/>
      <c r="B43" s="410" t="s">
        <v>644</v>
      </c>
      <c r="C43" s="419" t="s">
        <v>1266</v>
      </c>
      <c r="D43" s="704">
        <v>10000000</v>
      </c>
      <c r="E43" s="809"/>
    </row>
    <row r="44" spans="1:5" ht="31.5" x14ac:dyDescent="0.25">
      <c r="A44" s="811"/>
      <c r="B44" s="410" t="s">
        <v>645</v>
      </c>
      <c r="C44" s="419" t="s">
        <v>1267</v>
      </c>
      <c r="D44" s="704">
        <v>30250000</v>
      </c>
      <c r="E44" s="809"/>
    </row>
    <row r="45" spans="1:5" ht="15.75" x14ac:dyDescent="0.25">
      <c r="A45" s="811"/>
      <c r="B45" s="410" t="s">
        <v>646</v>
      </c>
      <c r="C45" s="419" t="s">
        <v>1268</v>
      </c>
      <c r="D45" s="704">
        <v>6000000</v>
      </c>
      <c r="E45" s="809"/>
    </row>
    <row r="46" spans="1:5" x14ac:dyDescent="0.25">
      <c r="A46" s="811"/>
      <c r="B46" s="410" t="s">
        <v>647</v>
      </c>
      <c r="C46" s="421" t="s">
        <v>73</v>
      </c>
      <c r="D46" s="704">
        <v>10000000</v>
      </c>
      <c r="E46" s="809"/>
    </row>
    <row r="47" spans="1:5" x14ac:dyDescent="0.25">
      <c r="A47" s="811"/>
      <c r="B47" s="410" t="s">
        <v>648</v>
      </c>
      <c r="C47" s="421" t="s">
        <v>1269</v>
      </c>
      <c r="D47" s="704">
        <v>10000000</v>
      </c>
      <c r="E47" s="809"/>
    </row>
    <row r="48" spans="1:5" ht="30" x14ac:dyDescent="0.25">
      <c r="A48" s="811"/>
      <c r="B48" s="410" t="s">
        <v>649</v>
      </c>
      <c r="C48" s="421" t="s">
        <v>1270</v>
      </c>
      <c r="D48" s="704">
        <v>6000000</v>
      </c>
      <c r="E48" s="809"/>
    </row>
    <row r="49" spans="1:13" x14ac:dyDescent="0.25">
      <c r="A49" s="811"/>
      <c r="B49" s="410" t="s">
        <v>650</v>
      </c>
      <c r="C49" s="421" t="s">
        <v>1271</v>
      </c>
      <c r="D49" s="704">
        <v>6100000</v>
      </c>
      <c r="E49" s="809"/>
    </row>
    <row r="50" spans="1:13" ht="30" x14ac:dyDescent="0.25">
      <c r="A50" s="811"/>
      <c r="B50" s="410" t="s">
        <v>651</v>
      </c>
      <c r="C50" s="421" t="s">
        <v>1272</v>
      </c>
      <c r="D50" s="704">
        <f>5000000+25000000</f>
        <v>30000000</v>
      </c>
      <c r="E50" s="809"/>
    </row>
    <row r="51" spans="1:13" x14ac:dyDescent="0.25">
      <c r="A51" s="811"/>
      <c r="B51" s="410" t="s">
        <v>1273</v>
      </c>
      <c r="C51" s="421" t="s">
        <v>1274</v>
      </c>
      <c r="D51" s="704">
        <v>4600000</v>
      </c>
      <c r="E51" s="809"/>
    </row>
    <row r="52" spans="1:13" x14ac:dyDescent="0.25">
      <c r="A52" s="811"/>
      <c r="B52" s="410" t="s">
        <v>652</v>
      </c>
      <c r="C52" s="421" t="s">
        <v>1275</v>
      </c>
      <c r="D52" s="704">
        <v>300000</v>
      </c>
      <c r="E52" s="809"/>
    </row>
    <row r="53" spans="1:13" x14ac:dyDescent="0.25">
      <c r="A53" s="811"/>
      <c r="B53" s="410" t="s">
        <v>653</v>
      </c>
      <c r="C53" s="421" t="s">
        <v>1276</v>
      </c>
      <c r="D53" s="704">
        <v>2000000</v>
      </c>
      <c r="E53" s="809"/>
    </row>
    <row r="54" spans="1:13" x14ac:dyDescent="0.25">
      <c r="A54" s="811"/>
      <c r="B54" s="410" t="s">
        <v>654</v>
      </c>
      <c r="C54" s="421" t="s">
        <v>1277</v>
      </c>
      <c r="D54" s="704">
        <f>35000000</f>
        <v>35000000</v>
      </c>
      <c r="E54" s="809"/>
    </row>
    <row r="55" spans="1:13" x14ac:dyDescent="0.25">
      <c r="A55" s="811"/>
      <c r="B55" s="410" t="s">
        <v>655</v>
      </c>
      <c r="C55" s="421" t="s">
        <v>1278</v>
      </c>
      <c r="D55" s="704">
        <v>2000000</v>
      </c>
      <c r="E55" s="809"/>
    </row>
    <row r="56" spans="1:13" x14ac:dyDescent="0.25">
      <c r="A56" s="811"/>
      <c r="B56" s="410" t="s">
        <v>656</v>
      </c>
      <c r="C56" s="421" t="s">
        <v>1279</v>
      </c>
      <c r="D56" s="704">
        <v>20000000</v>
      </c>
      <c r="E56" s="809"/>
    </row>
    <row r="57" spans="1:13" x14ac:dyDescent="0.25">
      <c r="A57" s="811"/>
      <c r="B57" s="410" t="s">
        <v>657</v>
      </c>
      <c r="C57" s="421" t="s">
        <v>1280</v>
      </c>
      <c r="D57" s="704">
        <v>28000000</v>
      </c>
      <c r="E57" s="809"/>
    </row>
    <row r="58" spans="1:13" x14ac:dyDescent="0.25">
      <c r="A58" s="811"/>
      <c r="B58" s="410" t="s">
        <v>658</v>
      </c>
      <c r="C58" s="421" t="s">
        <v>1281</v>
      </c>
      <c r="D58" s="704">
        <v>11722000</v>
      </c>
      <c r="E58" s="809"/>
    </row>
    <row r="59" spans="1:13" x14ac:dyDescent="0.25">
      <c r="A59" s="811"/>
      <c r="B59" s="410" t="s">
        <v>659</v>
      </c>
      <c r="C59" s="421" t="s">
        <v>1282</v>
      </c>
      <c r="D59" s="704">
        <v>34000000</v>
      </c>
      <c r="E59" s="809"/>
    </row>
    <row r="60" spans="1:13" x14ac:dyDescent="0.25">
      <c r="A60" s="811"/>
      <c r="B60" s="812" t="s">
        <v>660</v>
      </c>
      <c r="C60" s="421" t="s">
        <v>1283</v>
      </c>
      <c r="D60" s="704">
        <f>15000000</f>
        <v>15000000</v>
      </c>
      <c r="E60" s="809"/>
    </row>
    <row r="61" spans="1:13" x14ac:dyDescent="0.25">
      <c r="A61" s="811"/>
      <c r="B61" s="813"/>
      <c r="C61" s="421" t="s">
        <v>1296</v>
      </c>
      <c r="D61" s="704">
        <v>10000000</v>
      </c>
      <c r="E61" s="809"/>
    </row>
    <row r="62" spans="1:13" x14ac:dyDescent="0.25">
      <c r="A62" s="811"/>
      <c r="B62" s="410" t="s">
        <v>661</v>
      </c>
      <c r="C62" s="421" t="s">
        <v>1284</v>
      </c>
      <c r="D62" s="704">
        <v>3100000</v>
      </c>
      <c r="E62" s="809"/>
      <c r="M62" s="199" t="s">
        <v>681</v>
      </c>
    </row>
    <row r="63" spans="1:13" ht="15.75" customHeight="1" x14ac:dyDescent="0.25">
      <c r="A63" s="811"/>
      <c r="B63" s="410" t="s">
        <v>662</v>
      </c>
      <c r="C63" s="421" t="s">
        <v>1285</v>
      </c>
      <c r="D63" s="704">
        <v>9000000</v>
      </c>
      <c r="E63" s="809"/>
    </row>
    <row r="64" spans="1:13" ht="15.75" customHeight="1" x14ac:dyDescent="0.25">
      <c r="A64" s="811"/>
      <c r="B64" s="410" t="s">
        <v>663</v>
      </c>
      <c r="C64" s="421" t="s">
        <v>1286</v>
      </c>
      <c r="D64" s="704">
        <v>6000000</v>
      </c>
      <c r="E64" s="809"/>
    </row>
    <row r="65" spans="1:17" ht="15.75" customHeight="1" x14ac:dyDescent="0.25">
      <c r="A65" s="811"/>
      <c r="B65" s="410" t="s">
        <v>664</v>
      </c>
      <c r="C65" s="421" t="s">
        <v>1287</v>
      </c>
      <c r="D65" s="704">
        <v>5000000</v>
      </c>
      <c r="E65" s="809"/>
    </row>
    <row r="66" spans="1:17" ht="15.75" customHeight="1" x14ac:dyDescent="0.25">
      <c r="A66" s="811"/>
      <c r="B66" s="410" t="s">
        <v>665</v>
      </c>
      <c r="C66" s="421" t="s">
        <v>76</v>
      </c>
      <c r="D66" s="704">
        <v>6000000</v>
      </c>
      <c r="E66" s="809"/>
      <c r="Q66" s="199" t="s">
        <v>1297</v>
      </c>
    </row>
    <row r="67" spans="1:17" ht="15.75" customHeight="1" x14ac:dyDescent="0.25">
      <c r="A67" s="811"/>
      <c r="B67" s="410" t="s">
        <v>666</v>
      </c>
      <c r="C67" s="421" t="s">
        <v>1288</v>
      </c>
      <c r="D67" s="704">
        <v>250000</v>
      </c>
      <c r="E67" s="809"/>
    </row>
    <row r="68" spans="1:17" ht="15.75" customHeight="1" x14ac:dyDescent="0.25">
      <c r="A68" s="811"/>
      <c r="B68" s="410" t="s">
        <v>667</v>
      </c>
      <c r="C68" s="421" t="s">
        <v>1289</v>
      </c>
      <c r="D68" s="704">
        <v>350000</v>
      </c>
      <c r="E68" s="809"/>
    </row>
    <row r="69" spans="1:17" ht="15.75" customHeight="1" x14ac:dyDescent="0.25">
      <c r="A69" s="811"/>
      <c r="B69" s="410" t="s">
        <v>668</v>
      </c>
      <c r="C69" s="422" t="s">
        <v>1290</v>
      </c>
      <c r="D69" s="706">
        <v>1000000</v>
      </c>
      <c r="E69" s="809"/>
    </row>
    <row r="70" spans="1:17" ht="15.75" customHeight="1" x14ac:dyDescent="0.25">
      <c r="A70" s="811"/>
      <c r="B70" s="410" t="s">
        <v>669</v>
      </c>
      <c r="C70" s="423" t="s">
        <v>1298</v>
      </c>
      <c r="D70" s="705">
        <v>20500000</v>
      </c>
      <c r="E70" s="940"/>
      <c r="L70" s="424">
        <f>+'[3]13.b.sz.m.Maradványkim.-Önk'!F29</f>
        <v>898334622</v>
      </c>
    </row>
    <row r="71" spans="1:17" ht="33" customHeight="1" x14ac:dyDescent="0.25">
      <c r="A71" s="811" t="s">
        <v>71</v>
      </c>
      <c r="B71" s="410" t="s">
        <v>670</v>
      </c>
      <c r="C71" s="422" t="s">
        <v>1302</v>
      </c>
      <c r="D71" s="704">
        <v>1000000</v>
      </c>
      <c r="E71" s="808" t="s">
        <v>1469</v>
      </c>
      <c r="L71" s="424"/>
    </row>
    <row r="72" spans="1:17" ht="30" x14ac:dyDescent="0.25">
      <c r="A72" s="811"/>
      <c r="B72" s="410" t="s">
        <v>671</v>
      </c>
      <c r="C72" s="422" t="s">
        <v>1303</v>
      </c>
      <c r="D72" s="704">
        <v>5000000</v>
      </c>
      <c r="E72" s="809"/>
      <c r="L72" s="424"/>
    </row>
    <row r="73" spans="1:17" x14ac:dyDescent="0.25">
      <c r="A73" s="811"/>
      <c r="B73" s="410" t="s">
        <v>672</v>
      </c>
      <c r="C73" s="422" t="s">
        <v>1305</v>
      </c>
      <c r="D73" s="704">
        <v>6000000</v>
      </c>
      <c r="E73" s="809"/>
      <c r="L73" s="424"/>
    </row>
    <row r="74" spans="1:17" ht="15.75" customHeight="1" x14ac:dyDescent="0.25">
      <c r="A74" s="814" t="s">
        <v>72</v>
      </c>
      <c r="B74" s="702" t="s">
        <v>673</v>
      </c>
      <c r="C74" s="425" t="s">
        <v>1291</v>
      </c>
      <c r="D74" s="703">
        <v>50000000</v>
      </c>
      <c r="E74" s="809"/>
      <c r="L74" s="424"/>
    </row>
    <row r="75" spans="1:17" ht="30" x14ac:dyDescent="0.25">
      <c r="A75" s="814"/>
      <c r="B75" s="702" t="s">
        <v>674</v>
      </c>
      <c r="C75" s="426" t="s">
        <v>1299</v>
      </c>
      <c r="D75" s="707">
        <v>8785733</v>
      </c>
      <c r="E75" s="809"/>
      <c r="L75" s="424"/>
    </row>
    <row r="76" spans="1:17" ht="30" x14ac:dyDescent="0.25">
      <c r="A76" s="814"/>
      <c r="B76" s="702" t="s">
        <v>675</v>
      </c>
      <c r="C76" s="724" t="s">
        <v>1300</v>
      </c>
      <c r="D76" s="704">
        <f>20000000+3756000</f>
        <v>23756000</v>
      </c>
      <c r="E76" s="809"/>
      <c r="L76" s="424"/>
    </row>
    <row r="77" spans="1:17" ht="15.75" customHeight="1" x14ac:dyDescent="0.25">
      <c r="A77" s="814"/>
      <c r="B77" s="702" t="s">
        <v>676</v>
      </c>
      <c r="C77" s="724" t="s">
        <v>1292</v>
      </c>
      <c r="D77" s="704">
        <f>63364589-500000-8888603+102870-1000000-1000000-5000000-4258052-6000000-7785100-4000000</f>
        <v>25035704</v>
      </c>
      <c r="E77" s="809"/>
      <c r="L77" s="424"/>
    </row>
    <row r="78" spans="1:17" ht="15.75" customHeight="1" x14ac:dyDescent="0.25">
      <c r="A78" s="814"/>
      <c r="B78" s="702" t="s">
        <v>677</v>
      </c>
      <c r="C78" s="623" t="s">
        <v>1456</v>
      </c>
      <c r="D78" s="704">
        <v>4000000</v>
      </c>
      <c r="E78" s="809"/>
      <c r="L78" s="424"/>
    </row>
    <row r="79" spans="1:17" ht="15.75" customHeight="1" x14ac:dyDescent="0.25">
      <c r="A79" s="814"/>
      <c r="B79" s="702" t="s">
        <v>678</v>
      </c>
      <c r="C79" s="623" t="s">
        <v>1301</v>
      </c>
      <c r="D79" s="704">
        <v>1000000</v>
      </c>
      <c r="E79" s="809"/>
      <c r="F79" s="413">
        <f>D71+D72+D73</f>
        <v>12000000</v>
      </c>
      <c r="L79" s="424"/>
    </row>
    <row r="80" spans="1:17" ht="15.75" customHeight="1" x14ac:dyDescent="0.25">
      <c r="A80" s="814"/>
      <c r="B80" s="702" t="s">
        <v>1451</v>
      </c>
      <c r="C80" s="623" t="s">
        <v>1304</v>
      </c>
      <c r="D80" s="704">
        <v>4258052</v>
      </c>
      <c r="E80" s="809"/>
      <c r="L80" s="424"/>
    </row>
    <row r="81" spans="1:12" ht="31.5" customHeight="1" x14ac:dyDescent="0.25">
      <c r="A81" s="814"/>
      <c r="B81" s="702" t="s">
        <v>1453</v>
      </c>
      <c r="C81" s="623" t="s">
        <v>1452</v>
      </c>
      <c r="D81" s="704">
        <v>7785100</v>
      </c>
      <c r="E81" s="809"/>
      <c r="L81" s="424"/>
    </row>
    <row r="82" spans="1:12" ht="15.75" customHeight="1" x14ac:dyDescent="0.25">
      <c r="A82" s="814"/>
      <c r="B82" s="702" t="s">
        <v>1457</v>
      </c>
      <c r="C82" s="725" t="s">
        <v>1306</v>
      </c>
      <c r="D82" s="704">
        <v>7500000</v>
      </c>
      <c r="E82" s="810"/>
      <c r="F82" s="413">
        <f>SUM(D14:D70)+D74+D75+D76+D77+D78+D79+D80+D81+D82</f>
        <v>737334622</v>
      </c>
      <c r="L82" s="424"/>
    </row>
    <row r="83" spans="1:12" x14ac:dyDescent="0.25">
      <c r="A83" s="702"/>
      <c r="B83" s="726" t="s">
        <v>1307</v>
      </c>
      <c r="C83" s="726"/>
      <c r="D83" s="708">
        <f>SUM(D4:D82)</f>
        <v>897834622</v>
      </c>
      <c r="E83" s="712"/>
      <c r="F83" s="424">
        <f>+'[3]13.b.sz.m.Maradványkim.-Önk'!F29</f>
        <v>898334622</v>
      </c>
      <c r="L83" s="413">
        <f>+L70-D83</f>
        <v>500000</v>
      </c>
    </row>
    <row r="84" spans="1:12" x14ac:dyDescent="0.25">
      <c r="A84" s="727"/>
      <c r="B84" s="717"/>
      <c r="C84" s="717"/>
      <c r="D84" s="717"/>
      <c r="E84" s="715"/>
      <c r="F84" s="413">
        <f>+F83-D83</f>
        <v>500000</v>
      </c>
    </row>
    <row r="85" spans="1:12" ht="23.25" x14ac:dyDescent="0.35">
      <c r="A85" s="802" t="s">
        <v>11</v>
      </c>
      <c r="B85" s="803"/>
      <c r="C85" s="803"/>
      <c r="D85" s="803"/>
      <c r="E85" s="716"/>
    </row>
    <row r="86" spans="1:12" ht="23.25" x14ac:dyDescent="0.35">
      <c r="A86" s="728"/>
      <c r="B86" s="719"/>
      <c r="C86" s="718"/>
      <c r="D86" s="718"/>
      <c r="E86" s="716"/>
    </row>
    <row r="87" spans="1:12" ht="42" x14ac:dyDescent="0.25">
      <c r="A87" s="727"/>
      <c r="B87" s="729" t="s">
        <v>70</v>
      </c>
      <c r="C87" s="730" t="s">
        <v>56</v>
      </c>
      <c r="D87" s="709" t="s">
        <v>57</v>
      </c>
      <c r="E87" s="713"/>
    </row>
    <row r="88" spans="1:12" ht="18.75" customHeight="1" x14ac:dyDescent="0.25">
      <c r="A88" s="731"/>
      <c r="B88" s="702" t="s">
        <v>3</v>
      </c>
      <c r="C88" s="732" t="s">
        <v>1308</v>
      </c>
      <c r="D88" s="710">
        <v>500000</v>
      </c>
      <c r="E88" s="714"/>
      <c r="F88" s="424">
        <v>500000</v>
      </c>
    </row>
    <row r="89" spans="1:12" x14ac:dyDescent="0.25">
      <c r="A89" s="731"/>
      <c r="B89" s="723"/>
      <c r="C89" s="723"/>
      <c r="D89" s="722"/>
      <c r="E89" s="720"/>
    </row>
    <row r="90" spans="1:12" x14ac:dyDescent="0.25">
      <c r="A90" s="733" t="s">
        <v>1454</v>
      </c>
      <c r="B90" s="734"/>
      <c r="C90" s="734"/>
      <c r="D90" s="734"/>
      <c r="E90" s="721"/>
    </row>
  </sheetData>
  <mergeCells count="10">
    <mergeCell ref="A85:D85"/>
    <mergeCell ref="A1:D1"/>
    <mergeCell ref="A4:A12"/>
    <mergeCell ref="E4:E12"/>
    <mergeCell ref="A14:A70"/>
    <mergeCell ref="E14:E70"/>
    <mergeCell ref="B60:B61"/>
    <mergeCell ref="A71:A73"/>
    <mergeCell ref="A74:A82"/>
    <mergeCell ref="E71:E82"/>
  </mergeCells>
  <pageMargins left="0.19685039370078741" right="0.31496062992125984" top="0.74803149606299213" bottom="0.74803149606299213" header="0.31496062992125984" footer="0.31496062992125984"/>
  <pageSetup paperSize="9" scale="45" orientation="portrait" r:id="rId1"/>
  <headerFooter>
    <oddHeader>&amp;CDunaharaszti Város Önkormányzat 2016. évi zárszámadás&amp;R&amp;A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view="pageBreakPreview" zoomScale="70" zoomScaleNormal="70" zoomScaleSheetLayoutView="70" zoomScalePageLayoutView="70" workbookViewId="0">
      <selection activeCell="A2" sqref="A2:J2"/>
    </sheetView>
  </sheetViews>
  <sheetFormatPr defaultColWidth="20.5703125" defaultRowHeight="14.25" customHeight="1" x14ac:dyDescent="0.25"/>
  <cols>
    <col min="1" max="1" width="4.7109375" style="56" customWidth="1"/>
    <col min="2" max="2" width="43" style="56" customWidth="1"/>
    <col min="3" max="4" width="24.28515625" style="109" customWidth="1"/>
    <col min="5" max="5" width="10.85546875" style="109" customWidth="1"/>
    <col min="6" max="6" width="26.5703125" style="109" customWidth="1"/>
    <col min="7" max="8" width="22.5703125" style="110" customWidth="1"/>
    <col min="9" max="9" width="16.28515625" style="111" customWidth="1"/>
    <col min="10" max="10" width="22.140625" style="112" customWidth="1"/>
    <col min="11" max="11" width="23.85546875" style="56" customWidth="1"/>
    <col min="12" max="16384" width="20.5703125" style="56"/>
  </cols>
  <sheetData>
    <row r="1" spans="1:11" ht="15.75" customHeight="1" x14ac:dyDescent="0.25">
      <c r="B1" s="822"/>
      <c r="C1" s="822"/>
      <c r="D1" s="822"/>
      <c r="E1" s="822"/>
      <c r="F1" s="822"/>
      <c r="G1" s="822"/>
      <c r="H1" s="822"/>
      <c r="I1" s="822"/>
      <c r="J1" s="822"/>
      <c r="K1" s="822"/>
    </row>
    <row r="2" spans="1:11" ht="78.75" customHeight="1" x14ac:dyDescent="0.35">
      <c r="A2" s="823" t="s">
        <v>1044</v>
      </c>
      <c r="B2" s="823"/>
      <c r="C2" s="823"/>
      <c r="D2" s="823"/>
      <c r="E2" s="823"/>
      <c r="F2" s="823"/>
      <c r="G2" s="823"/>
      <c r="H2" s="823"/>
      <c r="I2" s="823"/>
      <c r="J2" s="823"/>
      <c r="K2" s="57"/>
    </row>
    <row r="3" spans="1:11" ht="99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59" customFormat="1" ht="29.25" customHeight="1" x14ac:dyDescent="0.25">
      <c r="A4" s="818" t="s">
        <v>87</v>
      </c>
      <c r="B4" s="818"/>
      <c r="C4" s="818"/>
      <c r="D4" s="818"/>
      <c r="E4" s="818"/>
      <c r="F4" s="818"/>
      <c r="G4" s="818"/>
      <c r="H4" s="818"/>
      <c r="I4" s="818"/>
      <c r="J4" s="58"/>
    </row>
    <row r="5" spans="1:11" s="59" customFormat="1" ht="9" customHeight="1" x14ac:dyDescent="0.25">
      <c r="B5" s="60"/>
      <c r="C5" s="61"/>
      <c r="D5" s="61"/>
      <c r="E5" s="61"/>
      <c r="F5" s="61"/>
      <c r="G5" s="62"/>
      <c r="H5" s="62"/>
      <c r="I5" s="63"/>
      <c r="J5" s="58"/>
    </row>
    <row r="6" spans="1:11" s="65" customFormat="1" ht="50.25" customHeight="1" x14ac:dyDescent="0.25">
      <c r="A6" s="824" t="s">
        <v>70</v>
      </c>
      <c r="B6" s="826" t="s">
        <v>88</v>
      </c>
      <c r="C6" s="828" t="s">
        <v>1045</v>
      </c>
      <c r="D6" s="828" t="s">
        <v>1046</v>
      </c>
      <c r="E6" s="829" t="s">
        <v>89</v>
      </c>
      <c r="F6" s="830"/>
      <c r="G6" s="64" t="s">
        <v>1047</v>
      </c>
      <c r="H6" s="831" t="s">
        <v>90</v>
      </c>
      <c r="I6" s="826" t="s">
        <v>91</v>
      </c>
      <c r="J6" s="371" t="s">
        <v>44</v>
      </c>
    </row>
    <row r="7" spans="1:11" s="65" customFormat="1" ht="31.5" customHeight="1" x14ac:dyDescent="0.25">
      <c r="A7" s="825"/>
      <c r="B7" s="827"/>
      <c r="C7" s="828"/>
      <c r="D7" s="828"/>
      <c r="E7" s="66" t="s">
        <v>92</v>
      </c>
      <c r="F7" s="66" t="s">
        <v>93</v>
      </c>
      <c r="G7" s="67" t="s">
        <v>94</v>
      </c>
      <c r="H7" s="831"/>
      <c r="I7" s="826"/>
      <c r="J7" s="372" t="s">
        <v>95</v>
      </c>
    </row>
    <row r="8" spans="1:11" s="76" customFormat="1" ht="39.75" customHeight="1" x14ac:dyDescent="0.25">
      <c r="A8" s="68" t="s">
        <v>3</v>
      </c>
      <c r="B8" s="68" t="s">
        <v>96</v>
      </c>
      <c r="C8" s="69">
        <f>238000000+140000000</f>
        <v>378000000</v>
      </c>
      <c r="D8" s="69">
        <f>238000000+140000000</f>
        <v>378000000</v>
      </c>
      <c r="E8" s="70">
        <v>0.35</v>
      </c>
      <c r="F8" s="69">
        <v>132300000</v>
      </c>
      <c r="G8" s="71">
        <f>+D8-F8</f>
        <v>245700000</v>
      </c>
      <c r="H8" s="72" t="s">
        <v>97</v>
      </c>
      <c r="I8" s="73" t="s">
        <v>98</v>
      </c>
      <c r="J8" s="74" t="s">
        <v>99</v>
      </c>
      <c r="K8" s="75"/>
    </row>
    <row r="9" spans="1:11" s="76" customFormat="1" ht="39.75" customHeight="1" x14ac:dyDescent="0.25">
      <c r="A9" s="68" t="s">
        <v>4</v>
      </c>
      <c r="B9" s="68" t="s">
        <v>100</v>
      </c>
      <c r="C9" s="69">
        <v>26010000</v>
      </c>
      <c r="D9" s="69">
        <v>26010000</v>
      </c>
      <c r="E9" s="70">
        <v>0</v>
      </c>
      <c r="F9" s="69"/>
      <c r="G9" s="71">
        <f>+C9-F9</f>
        <v>26010000</v>
      </c>
      <c r="H9" s="72"/>
      <c r="I9" s="73"/>
      <c r="J9" s="77" t="s">
        <v>101</v>
      </c>
      <c r="K9" s="75"/>
    </row>
    <row r="10" spans="1:11" s="76" customFormat="1" ht="39.75" customHeight="1" x14ac:dyDescent="0.25">
      <c r="A10" s="68" t="s">
        <v>5</v>
      </c>
      <c r="B10" s="68" t="s">
        <v>102</v>
      </c>
      <c r="C10" s="69">
        <v>5500000</v>
      </c>
      <c r="D10" s="69"/>
      <c r="E10" s="70">
        <v>0</v>
      </c>
      <c r="F10" s="69"/>
      <c r="G10" s="71"/>
      <c r="H10" s="72" t="s">
        <v>103</v>
      </c>
      <c r="I10" s="73"/>
      <c r="J10" s="77" t="s">
        <v>1048</v>
      </c>
      <c r="K10" s="75">
        <v>16700000</v>
      </c>
    </row>
    <row r="11" spans="1:11" s="76" customFormat="1" ht="39.75" customHeight="1" x14ac:dyDescent="0.25">
      <c r="A11" s="68" t="s">
        <v>6</v>
      </c>
      <c r="B11" s="68" t="s">
        <v>104</v>
      </c>
      <c r="C11" s="69">
        <v>3000000</v>
      </c>
      <c r="D11" s="69">
        <v>3000000</v>
      </c>
      <c r="E11" s="78">
        <v>1</v>
      </c>
      <c r="F11" s="69"/>
      <c r="G11" s="71">
        <v>3000000</v>
      </c>
      <c r="H11" s="72" t="s">
        <v>103</v>
      </c>
      <c r="I11" s="73"/>
      <c r="J11" s="77" t="s">
        <v>99</v>
      </c>
      <c r="K11" s="75"/>
    </row>
    <row r="12" spans="1:11" s="76" customFormat="1" ht="39.75" customHeight="1" x14ac:dyDescent="0.25">
      <c r="A12" s="68" t="s">
        <v>7</v>
      </c>
      <c r="B12" s="68" t="s">
        <v>105</v>
      </c>
      <c r="C12" s="69"/>
      <c r="D12" s="69">
        <v>23200</v>
      </c>
      <c r="E12" s="78">
        <v>0</v>
      </c>
      <c r="F12" s="69"/>
      <c r="G12" s="71">
        <v>23200</v>
      </c>
      <c r="H12" s="72"/>
      <c r="I12" s="73"/>
      <c r="J12" s="77" t="s">
        <v>1049</v>
      </c>
      <c r="K12" s="75"/>
    </row>
    <row r="13" spans="1:11" s="85" customFormat="1" ht="39.75" customHeight="1" x14ac:dyDescent="0.25">
      <c r="A13" s="817" t="s">
        <v>106</v>
      </c>
      <c r="B13" s="817"/>
      <c r="C13" s="79">
        <f>SUM(C8:C11)</f>
        <v>412510000</v>
      </c>
      <c r="D13" s="79">
        <f>SUM(D8:D12)</f>
        <v>407033200</v>
      </c>
      <c r="E13" s="80"/>
      <c r="F13" s="79">
        <f>SUM(F8:F12)</f>
        <v>132300000</v>
      </c>
      <c r="G13" s="79">
        <f>SUM(G8:G12)</f>
        <v>274733200</v>
      </c>
      <c r="H13" s="81"/>
      <c r="I13" s="82"/>
      <c r="J13" s="83"/>
      <c r="K13" s="84"/>
    </row>
    <row r="14" spans="1:11" s="86" customFormat="1" ht="96.75" customHeight="1" x14ac:dyDescent="0.25">
      <c r="B14" s="87"/>
      <c r="C14" s="88"/>
      <c r="D14" s="88"/>
      <c r="E14" s="88"/>
      <c r="F14" s="88"/>
      <c r="G14" s="88"/>
      <c r="H14" s="88"/>
      <c r="I14" s="89"/>
      <c r="J14" s="87"/>
      <c r="K14" s="87"/>
    </row>
    <row r="15" spans="1:11" s="86" customFormat="1" ht="31.5" customHeight="1" x14ac:dyDescent="0.25">
      <c r="A15" s="818"/>
      <c r="B15" s="818"/>
      <c r="C15" s="818"/>
      <c r="D15" s="818"/>
      <c r="E15" s="818"/>
      <c r="F15" s="818"/>
      <c r="G15" s="818"/>
      <c r="H15" s="818"/>
      <c r="I15" s="818"/>
      <c r="J15" s="87"/>
      <c r="K15" s="87"/>
    </row>
    <row r="16" spans="1:11" s="59" customFormat="1" ht="36.75" customHeight="1" x14ac:dyDescent="0.25">
      <c r="A16" s="819"/>
      <c r="B16" s="819"/>
      <c r="C16" s="819"/>
      <c r="D16" s="819"/>
      <c r="E16" s="819"/>
      <c r="F16" s="819"/>
      <c r="G16" s="819"/>
      <c r="H16" s="819"/>
      <c r="I16" s="819"/>
      <c r="J16" s="819"/>
      <c r="K16" s="90"/>
    </row>
    <row r="17" spans="1:11" s="59" customFormat="1" ht="18" hidden="1" customHeight="1" x14ac:dyDescent="0.25">
      <c r="A17" s="91"/>
      <c r="B17" s="91"/>
      <c r="C17" s="92"/>
      <c r="D17" s="92"/>
      <c r="E17" s="92"/>
      <c r="F17" s="92"/>
      <c r="G17" s="93"/>
      <c r="H17" s="93"/>
      <c r="I17" s="94"/>
      <c r="J17" s="95"/>
      <c r="K17" s="90"/>
    </row>
    <row r="18" spans="1:11" s="59" customFormat="1" ht="18" customHeight="1" x14ac:dyDescent="0.25">
      <c r="A18" s="91"/>
      <c r="B18" s="91"/>
      <c r="C18" s="92"/>
      <c r="D18" s="92"/>
      <c r="E18" s="92"/>
      <c r="F18" s="92"/>
      <c r="G18" s="93"/>
      <c r="H18" s="93"/>
      <c r="I18" s="94"/>
      <c r="J18" s="95"/>
      <c r="K18" s="90"/>
    </row>
    <row r="19" spans="1:11" s="97" customFormat="1" ht="25.5" customHeight="1" x14ac:dyDescent="0.3">
      <c r="A19" s="820"/>
      <c r="B19" s="820"/>
      <c r="C19" s="820"/>
      <c r="D19" s="820"/>
      <c r="E19" s="820"/>
      <c r="F19" s="820"/>
      <c r="G19" s="820"/>
      <c r="H19" s="820"/>
      <c r="I19" s="820"/>
      <c r="J19" s="91"/>
      <c r="K19" s="96"/>
    </row>
    <row r="20" spans="1:11" s="97" customFormat="1" ht="18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9"/>
    </row>
    <row r="21" spans="1:11" s="97" customFormat="1" ht="18" customHeight="1" x14ac:dyDescent="0.25">
      <c r="A21" s="815"/>
      <c r="B21" s="815"/>
      <c r="C21" s="106"/>
      <c r="D21" s="106"/>
      <c r="E21" s="821"/>
      <c r="F21" s="821"/>
      <c r="G21" s="107"/>
      <c r="H21" s="107"/>
      <c r="I21" s="108"/>
      <c r="J21" s="98"/>
      <c r="K21" s="99"/>
    </row>
    <row r="22" spans="1:11" s="97" customFormat="1" ht="30.75" customHeight="1" x14ac:dyDescent="0.25">
      <c r="A22" s="815"/>
      <c r="B22" s="815"/>
      <c r="C22" s="369"/>
      <c r="D22" s="106"/>
      <c r="E22" s="816"/>
      <c r="F22" s="816"/>
      <c r="G22" s="107"/>
      <c r="H22" s="369"/>
      <c r="I22" s="107"/>
      <c r="J22" s="98"/>
      <c r="K22" s="99"/>
    </row>
    <row r="23" spans="1:11" s="100" customFormat="1" ht="33" customHeight="1" x14ac:dyDescent="0.25">
      <c r="A23" s="370"/>
      <c r="B23" s="101"/>
      <c r="C23" s="102"/>
      <c r="D23" s="102"/>
      <c r="E23" s="102"/>
      <c r="F23" s="102"/>
      <c r="G23" s="102"/>
      <c r="H23" s="102"/>
      <c r="I23" s="103"/>
      <c r="J23" s="101"/>
      <c r="K23" s="104"/>
    </row>
    <row r="24" spans="1:11" s="97" customFormat="1" ht="14.25" customHeight="1" x14ac:dyDescent="0.25">
      <c r="A24" s="98"/>
      <c r="B24" s="98"/>
      <c r="C24" s="105"/>
      <c r="D24" s="105"/>
      <c r="E24" s="105"/>
      <c r="F24" s="105"/>
      <c r="G24" s="106"/>
      <c r="H24" s="106"/>
      <c r="I24" s="107"/>
      <c r="J24" s="108"/>
      <c r="K24" s="99"/>
    </row>
    <row r="25" spans="1:11" s="97" customFormat="1" ht="21.75" customHeight="1" x14ac:dyDescent="0.25">
      <c r="B25" s="98"/>
      <c r="C25" s="105"/>
      <c r="D25" s="105"/>
      <c r="E25" s="105"/>
      <c r="F25" s="105"/>
      <c r="G25" s="106"/>
      <c r="H25" s="106"/>
      <c r="I25" s="107"/>
      <c r="J25" s="108"/>
      <c r="K25" s="99"/>
    </row>
    <row r="27" spans="1:11" ht="14.25" customHeight="1" x14ac:dyDescent="0.25">
      <c r="K27" s="59"/>
    </row>
    <row r="28" spans="1:11" s="59" customFormat="1" ht="21" customHeight="1" x14ac:dyDescent="0.25">
      <c r="K28" s="56"/>
    </row>
    <row r="29" spans="1:11" ht="7.5" customHeight="1" x14ac:dyDescent="0.25">
      <c r="K29" s="59"/>
    </row>
    <row r="30" spans="1:11" s="59" customFormat="1" ht="14.25" customHeight="1" x14ac:dyDescent="0.25">
      <c r="K30" s="56"/>
    </row>
    <row r="31" spans="1:11" ht="7.5" customHeight="1" x14ac:dyDescent="0.25"/>
  </sheetData>
  <mergeCells count="18">
    <mergeCell ref="B1:K1"/>
    <mergeCell ref="A2:J2"/>
    <mergeCell ref="A4:I4"/>
    <mergeCell ref="A6:A7"/>
    <mergeCell ref="B6:B7"/>
    <mergeCell ref="C6:C7"/>
    <mergeCell ref="D6:D7"/>
    <mergeCell ref="E6:F6"/>
    <mergeCell ref="H6:H7"/>
    <mergeCell ref="I6:I7"/>
    <mergeCell ref="A22:B22"/>
    <mergeCell ref="E22:F22"/>
    <mergeCell ref="A13:B13"/>
    <mergeCell ref="A15:I15"/>
    <mergeCell ref="A16:J16"/>
    <mergeCell ref="A19:I19"/>
    <mergeCell ref="A21:B21"/>
    <mergeCell ref="E21:F21"/>
  </mergeCells>
  <pageMargins left="0.21" right="0.3" top="0.84" bottom="0.43307086614173229" header="0.42" footer="0.15748031496062992"/>
  <pageSetup paperSize="9" scale="65" orientation="landscape" r:id="rId1"/>
  <headerFooter alignWithMargins="0">
    <oddHeader>&amp;CDunaharaszti Város Önkormányzat 2016. évi zárszámadás&amp;R&amp;A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view="pageLayout" topLeftCell="A52" zoomScaleNormal="100" workbookViewId="0">
      <selection activeCell="S1" sqref="S1"/>
    </sheetView>
  </sheetViews>
  <sheetFormatPr defaultRowHeight="15" x14ac:dyDescent="0.25"/>
  <cols>
    <col min="1" max="1" width="4.28515625" style="199" customWidth="1"/>
    <col min="2" max="2" width="41" style="199" customWidth="1"/>
    <col min="3" max="3" width="16.7109375" style="199" bestFit="1" customWidth="1"/>
    <col min="4" max="4" width="17.42578125" style="199" customWidth="1"/>
    <col min="5" max="6" width="14.140625" style="199" bestFit="1" customWidth="1"/>
    <col min="7" max="8" width="12" style="199" bestFit="1" customWidth="1"/>
    <col min="9" max="9" width="13.140625" style="199" bestFit="1" customWidth="1"/>
    <col min="10" max="10" width="12.85546875" style="199" customWidth="1"/>
    <col min="11" max="12" width="13.140625" style="199" bestFit="1" customWidth="1"/>
    <col min="13" max="13" width="12" style="199" bestFit="1" customWidth="1"/>
    <col min="14" max="14" width="12.7109375" style="199" bestFit="1" customWidth="1"/>
    <col min="15" max="15" width="13.7109375" style="199" bestFit="1" customWidth="1"/>
    <col min="16" max="17" width="13.140625" style="199" bestFit="1" customWidth="1"/>
    <col min="18" max="18" width="14.140625" style="199" bestFit="1" customWidth="1"/>
    <col min="19" max="19" width="9.140625" style="199"/>
    <col min="20" max="20" width="10" style="199" bestFit="1" customWidth="1"/>
    <col min="21" max="16384" width="9.140625" style="199"/>
  </cols>
  <sheetData>
    <row r="1" spans="1:18" ht="36" customHeight="1" x14ac:dyDescent="0.25">
      <c r="A1" s="833" t="s">
        <v>2</v>
      </c>
      <c r="B1" s="833"/>
      <c r="C1" s="834" t="s">
        <v>54</v>
      </c>
      <c r="D1" s="834"/>
      <c r="E1" s="834" t="s">
        <v>11</v>
      </c>
      <c r="F1" s="834"/>
      <c r="G1" s="834" t="s">
        <v>12</v>
      </c>
      <c r="H1" s="834"/>
      <c r="I1" s="834" t="s">
        <v>14</v>
      </c>
      <c r="J1" s="834"/>
      <c r="K1" s="834" t="s">
        <v>15</v>
      </c>
      <c r="L1" s="834"/>
      <c r="M1" s="835" t="s">
        <v>41</v>
      </c>
      <c r="N1" s="835"/>
      <c r="O1" s="835" t="s">
        <v>67</v>
      </c>
      <c r="P1" s="835"/>
      <c r="Q1" s="834" t="s">
        <v>13</v>
      </c>
      <c r="R1" s="834"/>
    </row>
    <row r="2" spans="1:18" ht="18" customHeight="1" x14ac:dyDescent="0.25">
      <c r="A2" s="833"/>
      <c r="B2" s="833"/>
      <c r="C2" s="563" t="s">
        <v>642</v>
      </c>
      <c r="D2" s="563" t="s">
        <v>618</v>
      </c>
      <c r="E2" s="563" t="s">
        <v>642</v>
      </c>
      <c r="F2" s="563" t="s">
        <v>618</v>
      </c>
      <c r="G2" s="563" t="s">
        <v>642</v>
      </c>
      <c r="H2" s="563" t="s">
        <v>618</v>
      </c>
      <c r="I2" s="563" t="s">
        <v>642</v>
      </c>
      <c r="J2" s="563" t="s">
        <v>618</v>
      </c>
      <c r="K2" s="563" t="s">
        <v>642</v>
      </c>
      <c r="L2" s="563" t="s">
        <v>618</v>
      </c>
      <c r="M2" s="563" t="s">
        <v>642</v>
      </c>
      <c r="N2" s="563" t="s">
        <v>618</v>
      </c>
      <c r="O2" s="563" t="s">
        <v>642</v>
      </c>
      <c r="P2" s="563" t="s">
        <v>618</v>
      </c>
      <c r="Q2" s="563" t="s">
        <v>642</v>
      </c>
      <c r="R2" s="563" t="s">
        <v>618</v>
      </c>
    </row>
    <row r="3" spans="1:18" x14ac:dyDescent="0.25">
      <c r="A3" s="832" t="s">
        <v>876</v>
      </c>
      <c r="B3" s="832"/>
      <c r="C3" s="564">
        <f>SUM(C4,C7,C33,C49)</f>
        <v>26807854441</v>
      </c>
      <c r="D3" s="564">
        <f t="shared" ref="D3:R3" si="0">SUM(D4,D7,D33,D49)</f>
        <v>21831603783</v>
      </c>
      <c r="E3" s="564">
        <f t="shared" si="0"/>
        <v>197928862</v>
      </c>
      <c r="F3" s="564">
        <f t="shared" si="0"/>
        <v>22237307</v>
      </c>
      <c r="G3" s="564">
        <f t="shared" si="0"/>
        <v>2858471</v>
      </c>
      <c r="H3" s="564">
        <f t="shared" si="0"/>
        <v>605770</v>
      </c>
      <c r="I3" s="564">
        <f t="shared" si="0"/>
        <v>54182219</v>
      </c>
      <c r="J3" s="564">
        <f t="shared" si="0"/>
        <v>5848424</v>
      </c>
      <c r="K3" s="564">
        <f t="shared" si="0"/>
        <v>39023632</v>
      </c>
      <c r="L3" s="564">
        <f t="shared" si="0"/>
        <v>10392267</v>
      </c>
      <c r="M3" s="564">
        <f t="shared" si="0"/>
        <v>5205767</v>
      </c>
      <c r="N3" s="564">
        <f t="shared" si="0"/>
        <v>49447</v>
      </c>
      <c r="O3" s="564">
        <f t="shared" si="0"/>
        <v>116992501</v>
      </c>
      <c r="P3" s="564">
        <f t="shared" si="0"/>
        <v>2409110</v>
      </c>
      <c r="Q3" s="564">
        <f t="shared" si="0"/>
        <v>52191465</v>
      </c>
      <c r="R3" s="564">
        <f t="shared" si="0"/>
        <v>4678617</v>
      </c>
    </row>
    <row r="4" spans="1:18" x14ac:dyDescent="0.25">
      <c r="A4" s="565"/>
      <c r="B4" s="565" t="s">
        <v>877</v>
      </c>
      <c r="C4" s="564">
        <f>SUM(C5:C6)</f>
        <v>86897746</v>
      </c>
      <c r="D4" s="564">
        <f t="shared" ref="D4:R4" si="1">SUM(D5:D6)</f>
        <v>22018233</v>
      </c>
      <c r="E4" s="564">
        <f t="shared" si="1"/>
        <v>92834559</v>
      </c>
      <c r="F4" s="564">
        <f t="shared" si="1"/>
        <v>2693852</v>
      </c>
      <c r="G4" s="564">
        <f t="shared" si="1"/>
        <v>415248</v>
      </c>
      <c r="H4" s="564">
        <f t="shared" si="1"/>
        <v>197187</v>
      </c>
      <c r="I4" s="564">
        <f t="shared" si="1"/>
        <v>358750</v>
      </c>
      <c r="J4" s="564">
        <f t="shared" si="1"/>
        <v>0</v>
      </c>
      <c r="K4" s="564">
        <f t="shared" si="1"/>
        <v>384190</v>
      </c>
      <c r="L4" s="564">
        <f t="shared" si="1"/>
        <v>48807</v>
      </c>
      <c r="M4" s="564">
        <f t="shared" si="1"/>
        <v>0</v>
      </c>
      <c r="N4" s="564">
        <f t="shared" si="1"/>
        <v>0</v>
      </c>
      <c r="O4" s="564">
        <f t="shared" si="1"/>
        <v>99628415</v>
      </c>
      <c r="P4" s="564">
        <f t="shared" si="1"/>
        <v>0</v>
      </c>
      <c r="Q4" s="564">
        <f t="shared" si="1"/>
        <v>1000112</v>
      </c>
      <c r="R4" s="564">
        <f t="shared" si="1"/>
        <v>190438</v>
      </c>
    </row>
    <row r="5" spans="1:18" x14ac:dyDescent="0.25">
      <c r="A5" s="566"/>
      <c r="B5" s="567" t="s">
        <v>878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</row>
    <row r="6" spans="1:18" x14ac:dyDescent="0.25">
      <c r="A6" s="566"/>
      <c r="B6" s="567" t="s">
        <v>879</v>
      </c>
      <c r="C6" s="568">
        <f>20371616+14472040+30294200+21759890</f>
        <v>86897746</v>
      </c>
      <c r="D6" s="569">
        <f>C6-20578051-44301462</f>
        <v>22018233</v>
      </c>
      <c r="E6" s="568">
        <f>4141702+240700+58035808+94488+30321861</f>
        <v>92834559</v>
      </c>
      <c r="F6" s="568">
        <f>E6-59818846-30321861</f>
        <v>2693852</v>
      </c>
      <c r="G6" s="568">
        <f>357874+57374</f>
        <v>415248</v>
      </c>
      <c r="H6" s="568">
        <f>G6-218061</f>
        <v>197187</v>
      </c>
      <c r="I6" s="568">
        <f>310000+48750</f>
        <v>358750</v>
      </c>
      <c r="J6" s="568">
        <f>+I6-310000-48750</f>
        <v>0</v>
      </c>
      <c r="K6" s="568">
        <f>125440+210000+48750</f>
        <v>384190</v>
      </c>
      <c r="L6" s="568">
        <f>K6-125440-209943</f>
        <v>48807</v>
      </c>
      <c r="M6" s="568"/>
      <c r="N6" s="568"/>
      <c r="O6" s="569">
        <f>462726+99165689</f>
        <v>99628415</v>
      </c>
      <c r="P6" s="569">
        <f>O6-462726-99165689</f>
        <v>0</v>
      </c>
      <c r="Q6" s="568">
        <f>350000+240000+410112</f>
        <v>1000112</v>
      </c>
      <c r="R6" s="568">
        <f>Q6-399562-410112</f>
        <v>190438</v>
      </c>
    </row>
    <row r="7" spans="1:18" x14ac:dyDescent="0.25">
      <c r="A7" s="565"/>
      <c r="B7" s="565" t="s">
        <v>880</v>
      </c>
      <c r="C7" s="564">
        <f>+C8+C13+C18+C23+C28</f>
        <v>26015340155</v>
      </c>
      <c r="D7" s="564">
        <f t="shared" ref="D7:R7" si="2">+D8+D13+D18+D23+D28</f>
        <v>21129149010</v>
      </c>
      <c r="E7" s="564">
        <f t="shared" si="2"/>
        <v>105094303</v>
      </c>
      <c r="F7" s="564">
        <f t="shared" si="2"/>
        <v>19543455</v>
      </c>
      <c r="G7" s="564">
        <f t="shared" si="2"/>
        <v>2443223</v>
      </c>
      <c r="H7" s="564">
        <f t="shared" si="2"/>
        <v>408583</v>
      </c>
      <c r="I7" s="564">
        <f t="shared" si="2"/>
        <v>53823469</v>
      </c>
      <c r="J7" s="564">
        <f t="shared" si="2"/>
        <v>5848424</v>
      </c>
      <c r="K7" s="564">
        <f t="shared" si="2"/>
        <v>38639442</v>
      </c>
      <c r="L7" s="564">
        <f t="shared" si="2"/>
        <v>10343460</v>
      </c>
      <c r="M7" s="564">
        <f t="shared" si="2"/>
        <v>5205767</v>
      </c>
      <c r="N7" s="564">
        <f t="shared" si="2"/>
        <v>49447</v>
      </c>
      <c r="O7" s="564">
        <f t="shared" si="2"/>
        <v>17364086</v>
      </c>
      <c r="P7" s="564">
        <f t="shared" si="2"/>
        <v>2409110</v>
      </c>
      <c r="Q7" s="564">
        <f t="shared" si="2"/>
        <v>51191353</v>
      </c>
      <c r="R7" s="564">
        <f t="shared" si="2"/>
        <v>4488179</v>
      </c>
    </row>
    <row r="8" spans="1:18" ht="30" x14ac:dyDescent="0.25">
      <c r="A8" s="566"/>
      <c r="B8" s="570" t="s">
        <v>881</v>
      </c>
      <c r="C8" s="568">
        <f>SUM(C9:C12)</f>
        <v>24710964214</v>
      </c>
      <c r="D8" s="568">
        <f t="shared" ref="D8:R8" si="3">SUM(D9:D12)</f>
        <v>20172944163</v>
      </c>
      <c r="E8" s="568">
        <f t="shared" si="3"/>
        <v>0</v>
      </c>
      <c r="F8" s="568">
        <f t="shared" si="3"/>
        <v>0</v>
      </c>
      <c r="G8" s="568">
        <f t="shared" si="3"/>
        <v>0</v>
      </c>
      <c r="H8" s="568">
        <f t="shared" si="3"/>
        <v>0</v>
      </c>
      <c r="I8" s="568">
        <f t="shared" si="3"/>
        <v>0</v>
      </c>
      <c r="J8" s="568">
        <f t="shared" si="3"/>
        <v>0</v>
      </c>
      <c r="K8" s="568">
        <f t="shared" si="3"/>
        <v>0</v>
      </c>
      <c r="L8" s="568">
        <f t="shared" si="3"/>
        <v>0</v>
      </c>
      <c r="M8" s="568">
        <f t="shared" si="3"/>
        <v>0</v>
      </c>
      <c r="N8" s="568">
        <f t="shared" si="3"/>
        <v>0</v>
      </c>
      <c r="O8" s="568">
        <f t="shared" si="3"/>
        <v>0</v>
      </c>
      <c r="P8" s="568">
        <f t="shared" si="3"/>
        <v>0</v>
      </c>
      <c r="Q8" s="568">
        <f t="shared" si="3"/>
        <v>0</v>
      </c>
      <c r="R8" s="568">
        <f t="shared" si="3"/>
        <v>0</v>
      </c>
    </row>
    <row r="9" spans="1:18" ht="30" x14ac:dyDescent="0.25">
      <c r="A9" s="566"/>
      <c r="B9" s="567" t="s">
        <v>882</v>
      </c>
      <c r="C9" s="568">
        <v>16755194954</v>
      </c>
      <c r="D9" s="568">
        <v>14163113012</v>
      </c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</row>
    <row r="10" spans="1:18" ht="30" x14ac:dyDescent="0.25">
      <c r="A10" s="566"/>
      <c r="B10" s="567" t="s">
        <v>883</v>
      </c>
      <c r="C10" s="568">
        <v>106298919</v>
      </c>
      <c r="D10" s="568">
        <v>92451226</v>
      </c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</row>
    <row r="11" spans="1:18" ht="30" x14ac:dyDescent="0.25">
      <c r="A11" s="566"/>
      <c r="B11" s="567" t="s">
        <v>884</v>
      </c>
      <c r="C11" s="568">
        <v>6594742021</v>
      </c>
      <c r="D11" s="568">
        <v>4707308795</v>
      </c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</row>
    <row r="12" spans="1:18" ht="30" x14ac:dyDescent="0.25">
      <c r="A12" s="566"/>
      <c r="B12" s="567" t="s">
        <v>885</v>
      </c>
      <c r="C12" s="568">
        <v>1254728320</v>
      </c>
      <c r="D12" s="568">
        <v>1210071130</v>
      </c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</row>
    <row r="13" spans="1:18" ht="30" x14ac:dyDescent="0.25">
      <c r="A13" s="566"/>
      <c r="B13" s="565" t="s">
        <v>886</v>
      </c>
      <c r="C13" s="568">
        <f>SUM(C14:C17)</f>
        <v>612611014</v>
      </c>
      <c r="D13" s="568">
        <f t="shared" ref="D13:R13" si="4">SUM(D14:D17)</f>
        <v>264439920</v>
      </c>
      <c r="E13" s="568">
        <f t="shared" si="4"/>
        <v>105094303</v>
      </c>
      <c r="F13" s="568">
        <f t="shared" si="4"/>
        <v>19543455</v>
      </c>
      <c r="G13" s="568">
        <f t="shared" si="4"/>
        <v>2443223</v>
      </c>
      <c r="H13" s="568">
        <f t="shared" si="4"/>
        <v>408583</v>
      </c>
      <c r="I13" s="568">
        <f t="shared" si="4"/>
        <v>53823469</v>
      </c>
      <c r="J13" s="568">
        <f t="shared" si="4"/>
        <v>5848424</v>
      </c>
      <c r="K13" s="568">
        <f t="shared" si="4"/>
        <v>38639442</v>
      </c>
      <c r="L13" s="568">
        <f t="shared" si="4"/>
        <v>10343460</v>
      </c>
      <c r="M13" s="568">
        <f t="shared" si="4"/>
        <v>5205767</v>
      </c>
      <c r="N13" s="568">
        <f t="shared" si="4"/>
        <v>49447</v>
      </c>
      <c r="O13" s="568">
        <f t="shared" si="4"/>
        <v>17364086</v>
      </c>
      <c r="P13" s="568">
        <f t="shared" si="4"/>
        <v>2409110</v>
      </c>
      <c r="Q13" s="568">
        <f t="shared" si="4"/>
        <v>51191353</v>
      </c>
      <c r="R13" s="568">
        <f t="shared" si="4"/>
        <v>4488179</v>
      </c>
    </row>
    <row r="14" spans="1:18" ht="30" x14ac:dyDescent="0.25">
      <c r="A14" s="566"/>
      <c r="B14" s="571" t="s">
        <v>887</v>
      </c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</row>
    <row r="15" spans="1:18" ht="30" x14ac:dyDescent="0.25">
      <c r="A15" s="566"/>
      <c r="B15" s="571" t="s">
        <v>888</v>
      </c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</row>
    <row r="16" spans="1:18" ht="30" x14ac:dyDescent="0.25">
      <c r="A16" s="566"/>
      <c r="B16" s="571" t="s">
        <v>889</v>
      </c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</row>
    <row r="17" spans="1:18" ht="30" x14ac:dyDescent="0.25">
      <c r="A17" s="566"/>
      <c r="B17" s="571" t="s">
        <v>890</v>
      </c>
      <c r="C17" s="568">
        <f>1930391+102128704+17508980+18775269+34932836+205164534+12186372+212318928+7665000</f>
        <v>612611014</v>
      </c>
      <c r="D17" s="568">
        <f>C17-36191452-268183731-24579045-19216866</f>
        <v>264439920</v>
      </c>
      <c r="E17" s="568">
        <f>11620414+23961347+1730025+27679279+37072074+3031164</f>
        <v>105094303</v>
      </c>
      <c r="F17" s="568">
        <f>E17-32776627-49743057-3031164</f>
        <v>19543455</v>
      </c>
      <c r="G17" s="568">
        <f>613517+277716+1551990</f>
        <v>2443223</v>
      </c>
      <c r="H17" s="568">
        <f>G17-277716-1756924</f>
        <v>408583</v>
      </c>
      <c r="I17" s="568">
        <f>42120272+6655329+5047868</f>
        <v>53823469</v>
      </c>
      <c r="J17" s="568">
        <f>+I17-6655329-41319716</f>
        <v>5848424</v>
      </c>
      <c r="K17" s="568">
        <f>1241908+16257908+3714058+17425568</f>
        <v>38639442</v>
      </c>
      <c r="L17" s="568">
        <f>K17-4653864-23642118</f>
        <v>10343460</v>
      </c>
      <c r="M17" s="568">
        <f>119998+1677566+3408203</f>
        <v>5205767</v>
      </c>
      <c r="N17" s="568">
        <f>+M17-1748117-3408203</f>
        <v>49447</v>
      </c>
      <c r="O17" s="568">
        <f>5515497+250000+3900157+7698432</f>
        <v>17364086</v>
      </c>
      <c r="P17" s="568">
        <f>O17-3900157-11054819</f>
        <v>2409110</v>
      </c>
      <c r="Q17" s="568">
        <f>119900+8361675+7156343+24337975+11215460</f>
        <v>51191353</v>
      </c>
      <c r="R17" s="568">
        <f>Q17-7229922-28257792-11215460</f>
        <v>4488179</v>
      </c>
    </row>
    <row r="18" spans="1:18" x14ac:dyDescent="0.25">
      <c r="A18" s="566"/>
      <c r="B18" s="565" t="s">
        <v>891</v>
      </c>
      <c r="C18" s="568">
        <f>SUM(C19:C22)</f>
        <v>0</v>
      </c>
      <c r="D18" s="568">
        <f t="shared" ref="D18:R18" si="5">SUM(D19:D22)</f>
        <v>0</v>
      </c>
      <c r="E18" s="568">
        <f t="shared" si="5"/>
        <v>0</v>
      </c>
      <c r="F18" s="568">
        <f t="shared" si="5"/>
        <v>0</v>
      </c>
      <c r="G18" s="568">
        <f t="shared" si="5"/>
        <v>0</v>
      </c>
      <c r="H18" s="568">
        <f t="shared" si="5"/>
        <v>0</v>
      </c>
      <c r="I18" s="568">
        <f t="shared" si="5"/>
        <v>0</v>
      </c>
      <c r="J18" s="568">
        <f t="shared" si="5"/>
        <v>0</v>
      </c>
      <c r="K18" s="568">
        <f t="shared" si="5"/>
        <v>0</v>
      </c>
      <c r="L18" s="568">
        <f t="shared" si="5"/>
        <v>0</v>
      </c>
      <c r="M18" s="568">
        <f t="shared" si="5"/>
        <v>0</v>
      </c>
      <c r="N18" s="568">
        <f t="shared" si="5"/>
        <v>0</v>
      </c>
      <c r="O18" s="568">
        <f t="shared" si="5"/>
        <v>0</v>
      </c>
      <c r="P18" s="568">
        <f t="shared" si="5"/>
        <v>0</v>
      </c>
      <c r="Q18" s="568">
        <f t="shared" si="5"/>
        <v>0</v>
      </c>
      <c r="R18" s="568">
        <f t="shared" si="5"/>
        <v>0</v>
      </c>
    </row>
    <row r="19" spans="1:18" x14ac:dyDescent="0.25">
      <c r="A19" s="566"/>
      <c r="B19" s="571" t="s">
        <v>892</v>
      </c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</row>
    <row r="20" spans="1:18" ht="30" x14ac:dyDescent="0.25">
      <c r="A20" s="566"/>
      <c r="B20" s="571" t="s">
        <v>893</v>
      </c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</row>
    <row r="21" spans="1:18" x14ac:dyDescent="0.25">
      <c r="A21" s="566"/>
      <c r="B21" s="571" t="s">
        <v>894</v>
      </c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</row>
    <row r="22" spans="1:18" x14ac:dyDescent="0.25">
      <c r="A22" s="566"/>
      <c r="B22" s="571" t="s">
        <v>895</v>
      </c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</row>
    <row r="23" spans="1:18" x14ac:dyDescent="0.25">
      <c r="A23" s="566"/>
      <c r="B23" s="565" t="s">
        <v>896</v>
      </c>
      <c r="C23" s="568">
        <f>SUM(C24:C27)</f>
        <v>107242190</v>
      </c>
      <c r="D23" s="568">
        <v>107242190</v>
      </c>
      <c r="E23" s="568">
        <f t="shared" ref="E23:R23" si="6">SUM(E24:E27)</f>
        <v>0</v>
      </c>
      <c r="F23" s="568">
        <f t="shared" si="6"/>
        <v>0</v>
      </c>
      <c r="G23" s="568">
        <f t="shared" si="6"/>
        <v>0</v>
      </c>
      <c r="H23" s="568">
        <f t="shared" si="6"/>
        <v>0</v>
      </c>
      <c r="I23" s="568">
        <f t="shared" si="6"/>
        <v>0</v>
      </c>
      <c r="J23" s="568">
        <f t="shared" si="6"/>
        <v>0</v>
      </c>
      <c r="K23" s="568">
        <f t="shared" si="6"/>
        <v>0</v>
      </c>
      <c r="L23" s="568">
        <f t="shared" si="6"/>
        <v>0</v>
      </c>
      <c r="M23" s="568">
        <f t="shared" si="6"/>
        <v>0</v>
      </c>
      <c r="N23" s="568">
        <f t="shared" si="6"/>
        <v>0</v>
      </c>
      <c r="O23" s="568">
        <f t="shared" si="6"/>
        <v>0</v>
      </c>
      <c r="P23" s="568">
        <f t="shared" si="6"/>
        <v>0</v>
      </c>
      <c r="Q23" s="568">
        <f t="shared" si="6"/>
        <v>0</v>
      </c>
      <c r="R23" s="568">
        <f t="shared" si="6"/>
        <v>0</v>
      </c>
    </row>
    <row r="24" spans="1:18" x14ac:dyDescent="0.25">
      <c r="A24" s="566"/>
      <c r="B24" s="571" t="s">
        <v>897</v>
      </c>
      <c r="C24" s="568">
        <f>24345260+82896930</f>
        <v>107242190</v>
      </c>
      <c r="D24" s="568">
        <v>107242190</v>
      </c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</row>
    <row r="25" spans="1:18" ht="30" x14ac:dyDescent="0.25">
      <c r="A25" s="566"/>
      <c r="B25" s="571" t="s">
        <v>898</v>
      </c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8"/>
      <c r="P25" s="568"/>
      <c r="Q25" s="568"/>
      <c r="R25" s="568"/>
    </row>
    <row r="26" spans="1:18" ht="30" x14ac:dyDescent="0.25">
      <c r="A26" s="566"/>
      <c r="B26" s="571" t="s">
        <v>899</v>
      </c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</row>
    <row r="27" spans="1:18" x14ac:dyDescent="0.25">
      <c r="A27" s="566"/>
      <c r="B27" s="571" t="s">
        <v>900</v>
      </c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</row>
    <row r="28" spans="1:18" x14ac:dyDescent="0.25">
      <c r="A28" s="566"/>
      <c r="B28" s="565" t="s">
        <v>901</v>
      </c>
      <c r="C28" s="568">
        <v>584522737</v>
      </c>
      <c r="D28" s="568">
        <v>584522737</v>
      </c>
      <c r="E28" s="568">
        <f t="shared" ref="E28:R28" si="7">SUM(E29:E32)</f>
        <v>0</v>
      </c>
      <c r="F28" s="568">
        <f t="shared" si="7"/>
        <v>0</v>
      </c>
      <c r="G28" s="568">
        <f t="shared" si="7"/>
        <v>0</v>
      </c>
      <c r="H28" s="568">
        <f t="shared" si="7"/>
        <v>0</v>
      </c>
      <c r="I28" s="568">
        <f t="shared" si="7"/>
        <v>0</v>
      </c>
      <c r="J28" s="568">
        <f t="shared" si="7"/>
        <v>0</v>
      </c>
      <c r="K28" s="568">
        <f t="shared" si="7"/>
        <v>0</v>
      </c>
      <c r="L28" s="568">
        <f t="shared" si="7"/>
        <v>0</v>
      </c>
      <c r="M28" s="568">
        <f t="shared" si="7"/>
        <v>0</v>
      </c>
      <c r="N28" s="568">
        <f t="shared" si="7"/>
        <v>0</v>
      </c>
      <c r="O28" s="568">
        <f t="shared" si="7"/>
        <v>0</v>
      </c>
      <c r="P28" s="568">
        <f t="shared" si="7"/>
        <v>0</v>
      </c>
      <c r="Q28" s="568">
        <f t="shared" si="7"/>
        <v>0</v>
      </c>
      <c r="R28" s="568">
        <f t="shared" si="7"/>
        <v>0</v>
      </c>
    </row>
    <row r="29" spans="1:18" ht="30" x14ac:dyDescent="0.25">
      <c r="A29" s="566"/>
      <c r="B29" s="571" t="s">
        <v>902</v>
      </c>
      <c r="C29" s="568">
        <v>584522737</v>
      </c>
      <c r="D29" s="568">
        <v>584522737</v>
      </c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</row>
    <row r="30" spans="1:18" ht="30" x14ac:dyDescent="0.25">
      <c r="A30" s="566"/>
      <c r="B30" s="571" t="s">
        <v>903</v>
      </c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</row>
    <row r="31" spans="1:18" ht="30" x14ac:dyDescent="0.25">
      <c r="A31" s="566"/>
      <c r="B31" s="571" t="s">
        <v>904</v>
      </c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</row>
    <row r="32" spans="1:18" ht="30" x14ac:dyDescent="0.25">
      <c r="A32" s="566"/>
      <c r="B32" s="571" t="s">
        <v>905</v>
      </c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</row>
    <row r="33" spans="1:20" x14ac:dyDescent="0.25">
      <c r="A33" s="565"/>
      <c r="B33" s="572" t="s">
        <v>906</v>
      </c>
      <c r="C33" s="564">
        <f>SUM(C34,C39,C44)</f>
        <v>299913200</v>
      </c>
      <c r="D33" s="564">
        <f t="shared" ref="D33:R33" si="8">SUM(D34,D39,D44)</f>
        <v>274733200</v>
      </c>
      <c r="E33" s="564">
        <f t="shared" si="8"/>
        <v>0</v>
      </c>
      <c r="F33" s="564">
        <f t="shared" si="8"/>
        <v>0</v>
      </c>
      <c r="G33" s="564">
        <f t="shared" si="8"/>
        <v>0</v>
      </c>
      <c r="H33" s="564">
        <f t="shared" si="8"/>
        <v>0</v>
      </c>
      <c r="I33" s="564">
        <f t="shared" si="8"/>
        <v>0</v>
      </c>
      <c r="J33" s="564">
        <f t="shared" si="8"/>
        <v>0</v>
      </c>
      <c r="K33" s="564">
        <f t="shared" si="8"/>
        <v>0</v>
      </c>
      <c r="L33" s="564">
        <f t="shared" si="8"/>
        <v>0</v>
      </c>
      <c r="M33" s="564">
        <f t="shared" si="8"/>
        <v>0</v>
      </c>
      <c r="N33" s="564">
        <f t="shared" si="8"/>
        <v>0</v>
      </c>
      <c r="O33" s="564">
        <f t="shared" si="8"/>
        <v>0</v>
      </c>
      <c r="P33" s="564">
        <f t="shared" si="8"/>
        <v>0</v>
      </c>
      <c r="Q33" s="564">
        <f t="shared" si="8"/>
        <v>0</v>
      </c>
      <c r="R33" s="564">
        <f t="shared" si="8"/>
        <v>0</v>
      </c>
    </row>
    <row r="34" spans="1:20" x14ac:dyDescent="0.25">
      <c r="A34" s="566"/>
      <c r="B34" s="565" t="s">
        <v>907</v>
      </c>
      <c r="C34" s="568">
        <f>SUM(C35:C38)</f>
        <v>299913200</v>
      </c>
      <c r="D34" s="568">
        <f t="shared" ref="D34:R34" si="9">SUM(D35:D38)</f>
        <v>274733200</v>
      </c>
      <c r="E34" s="568">
        <f t="shared" si="9"/>
        <v>0</v>
      </c>
      <c r="F34" s="568">
        <f t="shared" si="9"/>
        <v>0</v>
      </c>
      <c r="G34" s="568">
        <f t="shared" si="9"/>
        <v>0</v>
      </c>
      <c r="H34" s="568">
        <f t="shared" si="9"/>
        <v>0</v>
      </c>
      <c r="I34" s="568">
        <f t="shared" si="9"/>
        <v>0</v>
      </c>
      <c r="J34" s="568">
        <f t="shared" si="9"/>
        <v>0</v>
      </c>
      <c r="K34" s="568">
        <f t="shared" si="9"/>
        <v>0</v>
      </c>
      <c r="L34" s="568">
        <f t="shared" si="9"/>
        <v>0</v>
      </c>
      <c r="M34" s="568">
        <f t="shared" si="9"/>
        <v>0</v>
      </c>
      <c r="N34" s="568">
        <f t="shared" si="9"/>
        <v>0</v>
      </c>
      <c r="O34" s="568">
        <f t="shared" si="9"/>
        <v>0</v>
      </c>
      <c r="P34" s="568">
        <f t="shared" si="9"/>
        <v>0</v>
      </c>
      <c r="Q34" s="568">
        <f t="shared" si="9"/>
        <v>0</v>
      </c>
      <c r="R34" s="568">
        <f t="shared" si="9"/>
        <v>0</v>
      </c>
    </row>
    <row r="35" spans="1:20" x14ac:dyDescent="0.25">
      <c r="A35" s="566"/>
      <c r="B35" s="571" t="s">
        <v>908</v>
      </c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8"/>
    </row>
    <row r="36" spans="1:20" ht="30" x14ac:dyDescent="0.25">
      <c r="A36" s="566"/>
      <c r="B36" s="571" t="s">
        <v>909</v>
      </c>
      <c r="C36" s="568"/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8"/>
    </row>
    <row r="37" spans="1:20" x14ac:dyDescent="0.25">
      <c r="A37" s="566"/>
      <c r="B37" s="571" t="s">
        <v>910</v>
      </c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</row>
    <row r="38" spans="1:20" x14ac:dyDescent="0.25">
      <c r="A38" s="566"/>
      <c r="B38" s="571" t="s">
        <v>911</v>
      </c>
      <c r="C38" s="568">
        <v>299913200</v>
      </c>
      <c r="D38" s="568">
        <v>274733200</v>
      </c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8"/>
    </row>
    <row r="39" spans="1:20" ht="30" x14ac:dyDescent="0.25">
      <c r="A39" s="566"/>
      <c r="B39" s="565" t="s">
        <v>912</v>
      </c>
      <c r="C39" s="568">
        <f>SUM(C40:C43)</f>
        <v>0</v>
      </c>
      <c r="D39" s="568">
        <f t="shared" ref="D39:R39" si="10">SUM(D40:D43)</f>
        <v>0</v>
      </c>
      <c r="E39" s="568">
        <f t="shared" si="10"/>
        <v>0</v>
      </c>
      <c r="F39" s="568">
        <f t="shared" si="10"/>
        <v>0</v>
      </c>
      <c r="G39" s="568">
        <f t="shared" si="10"/>
        <v>0</v>
      </c>
      <c r="H39" s="568">
        <f t="shared" si="10"/>
        <v>0</v>
      </c>
      <c r="I39" s="568">
        <f t="shared" si="10"/>
        <v>0</v>
      </c>
      <c r="J39" s="568">
        <f t="shared" si="10"/>
        <v>0</v>
      </c>
      <c r="K39" s="568">
        <f t="shared" si="10"/>
        <v>0</v>
      </c>
      <c r="L39" s="568">
        <f t="shared" si="10"/>
        <v>0</v>
      </c>
      <c r="M39" s="568">
        <f t="shared" si="10"/>
        <v>0</v>
      </c>
      <c r="N39" s="568">
        <f t="shared" si="10"/>
        <v>0</v>
      </c>
      <c r="O39" s="568">
        <f t="shared" si="10"/>
        <v>0</v>
      </c>
      <c r="P39" s="568">
        <f t="shared" si="10"/>
        <v>0</v>
      </c>
      <c r="Q39" s="568">
        <f t="shared" si="10"/>
        <v>0</v>
      </c>
      <c r="R39" s="568">
        <f t="shared" si="10"/>
        <v>0</v>
      </c>
    </row>
    <row r="40" spans="1:20" ht="30" x14ac:dyDescent="0.25">
      <c r="A40" s="566"/>
      <c r="B40" s="571" t="s">
        <v>913</v>
      </c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</row>
    <row r="41" spans="1:20" ht="30" x14ac:dyDescent="0.25">
      <c r="A41" s="566"/>
      <c r="B41" s="571" t="s">
        <v>914</v>
      </c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8"/>
    </row>
    <row r="42" spans="1:20" ht="30" x14ac:dyDescent="0.25">
      <c r="A42" s="566"/>
      <c r="B42" s="571" t="s">
        <v>915</v>
      </c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8"/>
    </row>
    <row r="43" spans="1:20" ht="30" x14ac:dyDescent="0.25">
      <c r="A43" s="566"/>
      <c r="B43" s="571" t="s">
        <v>916</v>
      </c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8"/>
      <c r="T43" s="199">
        <f>378000000+13005000+23200+3000000</f>
        <v>394028200</v>
      </c>
    </row>
    <row r="44" spans="1:20" ht="30" x14ac:dyDescent="0.25">
      <c r="A44" s="566"/>
      <c r="B44" s="565" t="s">
        <v>917</v>
      </c>
      <c r="C44" s="568">
        <f>SUM(C45:C48)</f>
        <v>0</v>
      </c>
      <c r="D44" s="568">
        <f t="shared" ref="D44:R44" si="11">SUM(D45:D48)</f>
        <v>0</v>
      </c>
      <c r="E44" s="568">
        <f t="shared" si="11"/>
        <v>0</v>
      </c>
      <c r="F44" s="568">
        <f t="shared" si="11"/>
        <v>0</v>
      </c>
      <c r="G44" s="568">
        <f t="shared" si="11"/>
        <v>0</v>
      </c>
      <c r="H44" s="568">
        <f t="shared" si="11"/>
        <v>0</v>
      </c>
      <c r="I44" s="568">
        <f t="shared" si="11"/>
        <v>0</v>
      </c>
      <c r="J44" s="568">
        <f t="shared" si="11"/>
        <v>0</v>
      </c>
      <c r="K44" s="568">
        <f t="shared" si="11"/>
        <v>0</v>
      </c>
      <c r="L44" s="568">
        <f t="shared" si="11"/>
        <v>0</v>
      </c>
      <c r="M44" s="568">
        <f t="shared" si="11"/>
        <v>0</v>
      </c>
      <c r="N44" s="568">
        <f t="shared" si="11"/>
        <v>0</v>
      </c>
      <c r="O44" s="568">
        <f t="shared" si="11"/>
        <v>0</v>
      </c>
      <c r="P44" s="568">
        <f t="shared" si="11"/>
        <v>0</v>
      </c>
      <c r="Q44" s="568">
        <f t="shared" si="11"/>
        <v>0</v>
      </c>
      <c r="R44" s="568">
        <f t="shared" si="11"/>
        <v>0</v>
      </c>
    </row>
    <row r="45" spans="1:20" ht="30" x14ac:dyDescent="0.25">
      <c r="A45" s="566"/>
      <c r="B45" s="571" t="s">
        <v>918</v>
      </c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</row>
    <row r="46" spans="1:20" ht="30" x14ac:dyDescent="0.25">
      <c r="A46" s="566"/>
      <c r="B46" s="571" t="s">
        <v>919</v>
      </c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</row>
    <row r="47" spans="1:20" ht="30" x14ac:dyDescent="0.25">
      <c r="A47" s="566"/>
      <c r="B47" s="571" t="s">
        <v>920</v>
      </c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8"/>
    </row>
    <row r="48" spans="1:20" ht="30" x14ac:dyDescent="0.25">
      <c r="A48" s="566"/>
      <c r="B48" s="571" t="s">
        <v>921</v>
      </c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  <c r="P48" s="568"/>
      <c r="Q48" s="568"/>
      <c r="R48" s="568"/>
    </row>
    <row r="49" spans="1:18" ht="30" x14ac:dyDescent="0.25">
      <c r="A49" s="565"/>
      <c r="B49" s="572" t="s">
        <v>922</v>
      </c>
      <c r="C49" s="564">
        <f>SUM(C50:C53)</f>
        <v>405703340</v>
      </c>
      <c r="D49" s="564">
        <f t="shared" ref="D49:R49" si="12">SUM(D50:D53)</f>
        <v>405703340</v>
      </c>
      <c r="E49" s="564">
        <f t="shared" si="12"/>
        <v>0</v>
      </c>
      <c r="F49" s="564">
        <f t="shared" si="12"/>
        <v>0</v>
      </c>
      <c r="G49" s="564">
        <f t="shared" si="12"/>
        <v>0</v>
      </c>
      <c r="H49" s="564">
        <f t="shared" si="12"/>
        <v>0</v>
      </c>
      <c r="I49" s="564">
        <f t="shared" si="12"/>
        <v>0</v>
      </c>
      <c r="J49" s="564">
        <f t="shared" si="12"/>
        <v>0</v>
      </c>
      <c r="K49" s="564">
        <f t="shared" si="12"/>
        <v>0</v>
      </c>
      <c r="L49" s="564">
        <f t="shared" si="12"/>
        <v>0</v>
      </c>
      <c r="M49" s="564">
        <f t="shared" si="12"/>
        <v>0</v>
      </c>
      <c r="N49" s="564">
        <f t="shared" si="12"/>
        <v>0</v>
      </c>
      <c r="O49" s="564">
        <f t="shared" si="12"/>
        <v>0</v>
      </c>
      <c r="P49" s="564">
        <f t="shared" si="12"/>
        <v>0</v>
      </c>
      <c r="Q49" s="564">
        <f t="shared" si="12"/>
        <v>0</v>
      </c>
      <c r="R49" s="564">
        <f t="shared" si="12"/>
        <v>0</v>
      </c>
    </row>
    <row r="50" spans="1:18" ht="30" x14ac:dyDescent="0.25">
      <c r="A50" s="566"/>
      <c r="B50" s="566" t="s">
        <v>923</v>
      </c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</row>
    <row r="51" spans="1:18" ht="45" x14ac:dyDescent="0.25">
      <c r="A51" s="566"/>
      <c r="B51" s="566" t="s">
        <v>924</v>
      </c>
      <c r="C51" s="568"/>
      <c r="D51" s="568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</row>
    <row r="52" spans="1:18" ht="30" x14ac:dyDescent="0.25">
      <c r="A52" s="566"/>
      <c r="B52" s="566" t="s">
        <v>925</v>
      </c>
      <c r="C52" s="573">
        <v>405703340</v>
      </c>
      <c r="D52" s="568">
        <v>405703340</v>
      </c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</row>
    <row r="53" spans="1:18" ht="30" x14ac:dyDescent="0.25">
      <c r="A53" s="566"/>
      <c r="B53" s="566" t="s">
        <v>926</v>
      </c>
      <c r="C53" s="568"/>
      <c r="D53" s="568"/>
      <c r="E53" s="568"/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P53" s="568"/>
      <c r="Q53" s="568"/>
      <c r="R53" s="568"/>
    </row>
    <row r="54" spans="1:18" ht="31.15" customHeight="1" x14ac:dyDescent="0.25">
      <c r="A54" s="832" t="s">
        <v>927</v>
      </c>
      <c r="B54" s="832"/>
      <c r="C54" s="564">
        <f>SUM(C55:C56)</f>
        <v>0</v>
      </c>
      <c r="D54" s="564">
        <f t="shared" ref="D54:R54" si="13">SUM(D55:D56)</f>
        <v>10060</v>
      </c>
      <c r="E54" s="564">
        <f t="shared" si="13"/>
        <v>0</v>
      </c>
      <c r="F54" s="564">
        <f t="shared" si="13"/>
        <v>44459</v>
      </c>
      <c r="G54" s="564">
        <f t="shared" si="13"/>
        <v>0</v>
      </c>
      <c r="H54" s="564">
        <f t="shared" si="13"/>
        <v>339344</v>
      </c>
      <c r="I54" s="564">
        <f t="shared" si="13"/>
        <v>0</v>
      </c>
      <c r="J54" s="564">
        <f t="shared" si="13"/>
        <v>35188</v>
      </c>
      <c r="K54" s="564">
        <f t="shared" si="13"/>
        <v>0</v>
      </c>
      <c r="L54" s="564">
        <f t="shared" si="13"/>
        <v>17827</v>
      </c>
      <c r="M54" s="564">
        <f t="shared" si="13"/>
        <v>0</v>
      </c>
      <c r="N54" s="564">
        <f t="shared" si="13"/>
        <v>37531</v>
      </c>
      <c r="O54" s="564">
        <f t="shared" si="13"/>
        <v>0</v>
      </c>
      <c r="P54" s="564">
        <f t="shared" si="13"/>
        <v>1316267</v>
      </c>
      <c r="Q54" s="564">
        <f t="shared" si="13"/>
        <v>0</v>
      </c>
      <c r="R54" s="564">
        <f t="shared" si="13"/>
        <v>783678</v>
      </c>
    </row>
    <row r="55" spans="1:18" x14ac:dyDescent="0.25">
      <c r="A55" s="565"/>
      <c r="B55" s="565" t="s">
        <v>928</v>
      </c>
      <c r="C55" s="568"/>
      <c r="D55" s="568">
        <v>10060</v>
      </c>
      <c r="E55" s="568"/>
      <c r="F55" s="568">
        <v>44459</v>
      </c>
      <c r="G55" s="568"/>
      <c r="H55" s="568">
        <v>339344</v>
      </c>
      <c r="I55" s="568"/>
      <c r="J55" s="568">
        <v>35188</v>
      </c>
      <c r="K55" s="568"/>
      <c r="L55" s="568">
        <v>17827</v>
      </c>
      <c r="M55" s="568"/>
      <c r="N55" s="568">
        <v>37531</v>
      </c>
      <c r="O55" s="568"/>
      <c r="P55" s="568">
        <v>1316267</v>
      </c>
      <c r="Q55" s="568"/>
      <c r="R55" s="568">
        <v>783678</v>
      </c>
    </row>
    <row r="56" spans="1:18" x14ac:dyDescent="0.25">
      <c r="A56" s="565"/>
      <c r="B56" s="565" t="s">
        <v>929</v>
      </c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/>
    </row>
    <row r="57" spans="1:18" x14ac:dyDescent="0.25">
      <c r="A57" s="832" t="s">
        <v>930</v>
      </c>
      <c r="B57" s="832"/>
      <c r="C57" s="564">
        <f>SUM(C58:C62)</f>
        <v>0</v>
      </c>
      <c r="D57" s="564">
        <f t="shared" ref="D57:R57" si="14">SUM(D58:D62)</f>
        <v>893336017</v>
      </c>
      <c r="E57" s="564">
        <f t="shared" si="14"/>
        <v>0</v>
      </c>
      <c r="F57" s="564">
        <f t="shared" si="14"/>
        <v>13335119</v>
      </c>
      <c r="G57" s="564">
        <f t="shared" si="14"/>
        <v>0</v>
      </c>
      <c r="H57" s="564">
        <f t="shared" si="14"/>
        <v>5368981</v>
      </c>
      <c r="I57" s="564">
        <f t="shared" si="14"/>
        <v>0</v>
      </c>
      <c r="J57" s="564">
        <f t="shared" si="14"/>
        <v>6612891</v>
      </c>
      <c r="K57" s="564">
        <f t="shared" si="14"/>
        <v>0</v>
      </c>
      <c r="L57" s="564">
        <f t="shared" si="14"/>
        <v>11204424</v>
      </c>
      <c r="M57" s="564">
        <f t="shared" si="14"/>
        <v>0</v>
      </c>
      <c r="N57" s="564">
        <f t="shared" si="14"/>
        <v>2945972</v>
      </c>
      <c r="O57" s="564">
        <f t="shared" si="14"/>
        <v>0</v>
      </c>
      <c r="P57" s="564">
        <f t="shared" si="14"/>
        <v>3931570</v>
      </c>
      <c r="Q57" s="564">
        <f t="shared" si="14"/>
        <v>0</v>
      </c>
      <c r="R57" s="564">
        <f t="shared" si="14"/>
        <v>42487992</v>
      </c>
    </row>
    <row r="58" spans="1:18" x14ac:dyDescent="0.25">
      <c r="A58" s="566"/>
      <c r="B58" s="566" t="s">
        <v>931</v>
      </c>
      <c r="C58" s="568"/>
      <c r="D58" s="568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P58" s="568"/>
      <c r="Q58" s="568"/>
      <c r="R58" s="568"/>
    </row>
    <row r="59" spans="1:18" x14ac:dyDescent="0.25">
      <c r="A59" s="566"/>
      <c r="B59" s="566" t="s">
        <v>932</v>
      </c>
      <c r="C59" s="568"/>
      <c r="D59" s="568">
        <v>243499</v>
      </c>
      <c r="E59" s="568"/>
      <c r="F59" s="568">
        <v>129037</v>
      </c>
      <c r="G59" s="568"/>
      <c r="H59" s="568">
        <v>24719</v>
      </c>
      <c r="I59" s="568"/>
      <c r="J59" s="568"/>
      <c r="K59" s="568"/>
      <c r="L59" s="568">
        <v>101482</v>
      </c>
      <c r="M59" s="568"/>
      <c r="N59" s="568">
        <v>120570</v>
      </c>
      <c r="O59" s="568"/>
      <c r="P59" s="568">
        <v>230012</v>
      </c>
      <c r="Q59" s="568"/>
      <c r="R59" s="568">
        <v>154197</v>
      </c>
    </row>
    <row r="60" spans="1:18" x14ac:dyDescent="0.25">
      <c r="A60" s="566"/>
      <c r="B60" s="566" t="s">
        <v>933</v>
      </c>
      <c r="C60" s="568"/>
      <c r="D60" s="568">
        <v>893092518</v>
      </c>
      <c r="E60" s="568"/>
      <c r="F60" s="568">
        <v>13206082</v>
      </c>
      <c r="G60" s="568"/>
      <c r="H60" s="568">
        <v>5344262</v>
      </c>
      <c r="I60" s="568"/>
      <c r="J60" s="568">
        <v>6612891</v>
      </c>
      <c r="K60" s="568"/>
      <c r="L60" s="568">
        <v>11102942</v>
      </c>
      <c r="M60" s="568"/>
      <c r="N60" s="568">
        <v>2825402</v>
      </c>
      <c r="O60" s="568"/>
      <c r="P60" s="568">
        <v>3701558</v>
      </c>
      <c r="Q60" s="568"/>
      <c r="R60" s="568">
        <v>42333795</v>
      </c>
    </row>
    <row r="61" spans="1:18" x14ac:dyDescent="0.25">
      <c r="A61" s="566"/>
      <c r="B61" s="566" t="s">
        <v>934</v>
      </c>
      <c r="C61" s="568"/>
      <c r="D61" s="568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8"/>
      <c r="P61" s="568"/>
      <c r="Q61" s="568"/>
      <c r="R61" s="568"/>
    </row>
    <row r="62" spans="1:18" x14ac:dyDescent="0.25">
      <c r="A62" s="566"/>
      <c r="B62" s="566" t="s">
        <v>935</v>
      </c>
      <c r="C62" s="568"/>
      <c r="D62" s="568"/>
      <c r="E62" s="568"/>
      <c r="F62" s="568"/>
      <c r="G62" s="568"/>
      <c r="H62" s="568"/>
      <c r="I62" s="568"/>
      <c r="J62" s="568"/>
      <c r="K62" s="568"/>
      <c r="L62" s="568"/>
      <c r="M62" s="568"/>
      <c r="N62" s="568"/>
      <c r="O62" s="568"/>
      <c r="P62" s="568"/>
      <c r="Q62" s="568"/>
      <c r="R62" s="568"/>
    </row>
    <row r="63" spans="1:18" x14ac:dyDescent="0.25">
      <c r="A63" s="832" t="s">
        <v>936</v>
      </c>
      <c r="B63" s="832"/>
      <c r="C63" s="564">
        <f>SUM(C64:C66)</f>
        <v>0</v>
      </c>
      <c r="D63" s="564">
        <f t="shared" ref="D63:R63" si="15">SUM(D64:D66)</f>
        <v>196081433</v>
      </c>
      <c r="E63" s="564">
        <f t="shared" si="15"/>
        <v>0</v>
      </c>
      <c r="F63" s="564">
        <f t="shared" si="15"/>
        <v>11829387</v>
      </c>
      <c r="G63" s="564">
        <f t="shared" si="15"/>
        <v>0</v>
      </c>
      <c r="H63" s="564">
        <f t="shared" si="15"/>
        <v>404482</v>
      </c>
      <c r="I63" s="564">
        <f t="shared" si="15"/>
        <v>0</v>
      </c>
      <c r="J63" s="564">
        <f t="shared" si="15"/>
        <v>0</v>
      </c>
      <c r="K63" s="564">
        <f t="shared" si="15"/>
        <v>0</v>
      </c>
      <c r="L63" s="564">
        <f t="shared" si="15"/>
        <v>0</v>
      </c>
      <c r="M63" s="564">
        <f t="shared" si="15"/>
        <v>0</v>
      </c>
      <c r="N63" s="564">
        <f t="shared" si="15"/>
        <v>29445</v>
      </c>
      <c r="O63" s="564">
        <f t="shared" si="15"/>
        <v>0</v>
      </c>
      <c r="P63" s="564">
        <f t="shared" si="15"/>
        <v>441813</v>
      </c>
      <c r="Q63" s="564">
        <f t="shared" si="15"/>
        <v>0</v>
      </c>
      <c r="R63" s="564">
        <f t="shared" si="15"/>
        <v>17323768</v>
      </c>
    </row>
    <row r="64" spans="1:18" x14ac:dyDescent="0.25">
      <c r="A64" s="566"/>
      <c r="B64" s="566" t="s">
        <v>937</v>
      </c>
      <c r="C64" s="568"/>
      <c r="D64" s="568">
        <v>115655516</v>
      </c>
      <c r="E64" s="568"/>
      <c r="F64" s="568">
        <v>2888187</v>
      </c>
      <c r="G64" s="568"/>
      <c r="H64" s="568">
        <v>404482</v>
      </c>
      <c r="I64" s="568"/>
      <c r="J64" s="568"/>
      <c r="K64" s="568"/>
      <c r="L64" s="568"/>
      <c r="M64" s="568"/>
      <c r="N64" s="568"/>
      <c r="O64" s="568"/>
      <c r="P64" s="568">
        <v>21000</v>
      </c>
      <c r="Q64" s="568"/>
      <c r="R64" s="568">
        <v>16832810</v>
      </c>
    </row>
    <row r="65" spans="1:18" ht="30" x14ac:dyDescent="0.25">
      <c r="A65" s="566"/>
      <c r="B65" s="566" t="s">
        <v>938</v>
      </c>
      <c r="C65" s="568"/>
      <c r="D65" s="568">
        <v>43081446</v>
      </c>
      <c r="E65" s="568"/>
      <c r="F65" s="568">
        <v>8935200</v>
      </c>
      <c r="G65" s="568"/>
      <c r="H65" s="568"/>
      <c r="I65" s="568"/>
      <c r="J65" s="568"/>
      <c r="K65" s="568"/>
      <c r="L65" s="568"/>
      <c r="M65" s="568"/>
      <c r="N65" s="568">
        <v>29445</v>
      </c>
      <c r="O65" s="568"/>
      <c r="P65" s="568"/>
      <c r="Q65" s="568"/>
      <c r="R65" s="568">
        <v>490958</v>
      </c>
    </row>
    <row r="66" spans="1:18" x14ac:dyDescent="0.25">
      <c r="A66" s="566"/>
      <c r="B66" s="566" t="s">
        <v>939</v>
      </c>
      <c r="C66" s="568"/>
      <c r="D66" s="568">
        <v>37344471</v>
      </c>
      <c r="E66" s="568"/>
      <c r="F66" s="568">
        <v>6000</v>
      </c>
      <c r="G66" s="568"/>
      <c r="H66" s="568"/>
      <c r="I66" s="568"/>
      <c r="J66" s="568"/>
      <c r="K66" s="568"/>
      <c r="L66" s="568"/>
      <c r="M66" s="568"/>
      <c r="N66" s="568"/>
      <c r="O66" s="568"/>
      <c r="P66" s="568">
        <v>420813</v>
      </c>
      <c r="Q66" s="568"/>
      <c r="R66" s="568"/>
    </row>
    <row r="67" spans="1:18" ht="28.15" customHeight="1" x14ac:dyDescent="0.25">
      <c r="A67" s="832" t="s">
        <v>940</v>
      </c>
      <c r="B67" s="832"/>
      <c r="C67" s="564"/>
      <c r="D67" s="564">
        <v>15447000</v>
      </c>
      <c r="E67" s="564"/>
      <c r="F67" s="564">
        <v>-245000</v>
      </c>
      <c r="G67" s="564"/>
      <c r="H67" s="564">
        <v>913000</v>
      </c>
      <c r="I67" s="564"/>
      <c r="J67" s="564"/>
      <c r="K67" s="564"/>
      <c r="L67" s="564"/>
      <c r="M67" s="564"/>
      <c r="N67" s="564"/>
      <c r="O67" s="564"/>
      <c r="P67" s="564">
        <v>-10712</v>
      </c>
      <c r="Q67" s="564"/>
      <c r="R67" s="564">
        <v>10688000</v>
      </c>
    </row>
    <row r="68" spans="1:18" ht="20.45" customHeight="1" x14ac:dyDescent="0.25">
      <c r="A68" s="832" t="s">
        <v>941</v>
      </c>
      <c r="B68" s="832"/>
      <c r="C68" s="564"/>
      <c r="D68" s="564">
        <v>67035</v>
      </c>
      <c r="E68" s="564"/>
      <c r="F68" s="564">
        <v>2331353</v>
      </c>
      <c r="G68" s="564"/>
      <c r="H68" s="564"/>
      <c r="I68" s="564"/>
      <c r="J68" s="564">
        <v>11000</v>
      </c>
      <c r="K68" s="564"/>
      <c r="L68" s="564">
        <v>6000</v>
      </c>
      <c r="M68" s="564"/>
      <c r="N68" s="564"/>
      <c r="O68" s="564"/>
      <c r="P68" s="564">
        <v>869320</v>
      </c>
      <c r="Q68" s="564"/>
      <c r="R68" s="564">
        <v>83200</v>
      </c>
    </row>
    <row r="69" spans="1:18" x14ac:dyDescent="0.25">
      <c r="A69" s="833" t="s">
        <v>942</v>
      </c>
      <c r="B69" s="833"/>
      <c r="C69" s="564">
        <f>SUM(C68,C67,C63,C57,C54,C3)</f>
        <v>26807854441</v>
      </c>
      <c r="D69" s="564">
        <f t="shared" ref="D69:R69" si="16">SUM(D68,D67,D63,D57,D54,D3)</f>
        <v>22936545328</v>
      </c>
      <c r="E69" s="564">
        <f t="shared" si="16"/>
        <v>197928862</v>
      </c>
      <c r="F69" s="564">
        <f t="shared" si="16"/>
        <v>49532625</v>
      </c>
      <c r="G69" s="564">
        <f t="shared" si="16"/>
        <v>2858471</v>
      </c>
      <c r="H69" s="564">
        <f t="shared" si="16"/>
        <v>7631577</v>
      </c>
      <c r="I69" s="564">
        <f t="shared" si="16"/>
        <v>54182219</v>
      </c>
      <c r="J69" s="564">
        <f t="shared" si="16"/>
        <v>12507503</v>
      </c>
      <c r="K69" s="564">
        <f t="shared" si="16"/>
        <v>39023632</v>
      </c>
      <c r="L69" s="564">
        <f t="shared" si="16"/>
        <v>21620518</v>
      </c>
      <c r="M69" s="564">
        <f t="shared" si="16"/>
        <v>5205767</v>
      </c>
      <c r="N69" s="564">
        <f t="shared" si="16"/>
        <v>3062395</v>
      </c>
      <c r="O69" s="564">
        <f t="shared" si="16"/>
        <v>116992501</v>
      </c>
      <c r="P69" s="564">
        <f t="shared" si="16"/>
        <v>8957368</v>
      </c>
      <c r="Q69" s="564">
        <f t="shared" si="16"/>
        <v>52191465</v>
      </c>
      <c r="R69" s="564">
        <f t="shared" si="16"/>
        <v>76045255</v>
      </c>
    </row>
    <row r="70" spans="1:18" x14ac:dyDescent="0.25">
      <c r="A70" s="832" t="s">
        <v>943</v>
      </c>
      <c r="B70" s="832"/>
      <c r="C70" s="564"/>
      <c r="D70" s="564">
        <f>SUM(D71:D76)</f>
        <v>22095742057</v>
      </c>
      <c r="E70" s="564">
        <f t="shared" ref="E70:R70" si="17">SUM(E71:E76)</f>
        <v>0</v>
      </c>
      <c r="F70" s="564">
        <f t="shared" si="17"/>
        <v>25295477</v>
      </c>
      <c r="G70" s="564">
        <f t="shared" si="17"/>
        <v>0</v>
      </c>
      <c r="H70" s="564">
        <f t="shared" si="17"/>
        <v>432666</v>
      </c>
      <c r="I70" s="564">
        <f t="shared" si="17"/>
        <v>0</v>
      </c>
      <c r="J70" s="564">
        <f t="shared" si="17"/>
        <v>-8276020</v>
      </c>
      <c r="K70" s="564">
        <f t="shared" si="17"/>
        <v>0</v>
      </c>
      <c r="L70" s="564">
        <f t="shared" si="17"/>
        <v>-2910657</v>
      </c>
      <c r="M70" s="564">
        <f t="shared" si="17"/>
        <v>0</v>
      </c>
      <c r="N70" s="564">
        <f t="shared" si="17"/>
        <v>737642</v>
      </c>
      <c r="O70" s="564">
        <f t="shared" si="17"/>
        <v>0</v>
      </c>
      <c r="P70" s="564">
        <f t="shared" si="17"/>
        <v>5294405</v>
      </c>
      <c r="Q70" s="564">
        <f t="shared" si="17"/>
        <v>0</v>
      </c>
      <c r="R70" s="564">
        <f t="shared" si="17"/>
        <v>50227932</v>
      </c>
    </row>
    <row r="71" spans="1:18" x14ac:dyDescent="0.25">
      <c r="A71" s="566"/>
      <c r="B71" s="566" t="s">
        <v>944</v>
      </c>
      <c r="C71" s="568"/>
      <c r="D71" s="568">
        <v>23743022163</v>
      </c>
      <c r="E71" s="568"/>
      <c r="F71" s="568">
        <v>207008158</v>
      </c>
      <c r="G71" s="568"/>
      <c r="H71" s="568">
        <v>1534389</v>
      </c>
      <c r="I71" s="568"/>
      <c r="J71" s="568">
        <v>55419477</v>
      </c>
      <c r="K71" s="568"/>
      <c r="L71" s="568">
        <v>10525271</v>
      </c>
      <c r="M71" s="568"/>
      <c r="N71" s="568">
        <v>4705151</v>
      </c>
      <c r="O71" s="568"/>
      <c r="P71" s="568">
        <v>18790352</v>
      </c>
      <c r="Q71" s="568"/>
      <c r="R71" s="568">
        <v>150879576</v>
      </c>
    </row>
    <row r="72" spans="1:18" x14ac:dyDescent="0.25">
      <c r="A72" s="566"/>
      <c r="B72" s="566" t="s">
        <v>945</v>
      </c>
      <c r="C72" s="568"/>
      <c r="D72" s="568">
        <v>248209571</v>
      </c>
      <c r="E72" s="568"/>
      <c r="F72" s="568">
        <v>-138914</v>
      </c>
      <c r="G72" s="568"/>
      <c r="H72" s="568"/>
      <c r="I72" s="568"/>
      <c r="J72" s="568">
        <v>-120441</v>
      </c>
      <c r="K72" s="568"/>
      <c r="L72" s="568">
        <v>18749475</v>
      </c>
      <c r="M72" s="568"/>
      <c r="N72" s="568"/>
      <c r="O72" s="568"/>
      <c r="P72" s="568"/>
      <c r="Q72" s="568"/>
      <c r="R72" s="568">
        <v>-17118276</v>
      </c>
    </row>
    <row r="73" spans="1:18" ht="30" x14ac:dyDescent="0.25">
      <c r="A73" s="566"/>
      <c r="B73" s="566" t="s">
        <v>946</v>
      </c>
      <c r="C73" s="568"/>
      <c r="D73" s="568">
        <v>449861622</v>
      </c>
      <c r="E73" s="568"/>
      <c r="F73" s="568">
        <v>2659757</v>
      </c>
      <c r="G73" s="568"/>
      <c r="H73" s="568">
        <v>813104</v>
      </c>
      <c r="I73" s="568"/>
      <c r="J73" s="568">
        <v>1869708</v>
      </c>
      <c r="K73" s="568"/>
      <c r="L73" s="568">
        <v>61574</v>
      </c>
      <c r="M73" s="568"/>
      <c r="N73" s="568">
        <v>591312</v>
      </c>
      <c r="O73" s="568"/>
      <c r="P73" s="568">
        <v>759776</v>
      </c>
      <c r="Q73" s="568"/>
      <c r="R73" s="568">
        <v>2067177</v>
      </c>
    </row>
    <row r="74" spans="1:18" x14ac:dyDescent="0.25">
      <c r="A74" s="566"/>
      <c r="B74" s="566" t="s">
        <v>947</v>
      </c>
      <c r="C74" s="568"/>
      <c r="D74" s="568">
        <v>-3357487477</v>
      </c>
      <c r="E74" s="568"/>
      <c r="F74" s="568">
        <v>-197878287</v>
      </c>
      <c r="G74" s="568"/>
      <c r="H74" s="568">
        <v>-6610687</v>
      </c>
      <c r="I74" s="568"/>
      <c r="J74" s="568">
        <v>-61134511</v>
      </c>
      <c r="K74" s="568"/>
      <c r="L74" s="568">
        <v>-37206177</v>
      </c>
      <c r="M74" s="568"/>
      <c r="N74" s="568">
        <v>-7385531</v>
      </c>
      <c r="O74" s="568"/>
      <c r="P74" s="568">
        <v>-15571007</v>
      </c>
      <c r="Q74" s="568"/>
      <c r="R74" s="568">
        <v>-142983485</v>
      </c>
    </row>
    <row r="75" spans="1:18" x14ac:dyDescent="0.25">
      <c r="A75" s="566"/>
      <c r="B75" s="566" t="s">
        <v>948</v>
      </c>
      <c r="C75" s="568"/>
      <c r="D75" s="568">
        <v>584522737</v>
      </c>
      <c r="E75" s="574"/>
      <c r="F75" s="574"/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8"/>
      <c r="R75" s="568">
        <v>57382940</v>
      </c>
    </row>
    <row r="76" spans="1:18" x14ac:dyDescent="0.25">
      <c r="A76" s="566"/>
      <c r="B76" s="566" t="s">
        <v>949</v>
      </c>
      <c r="C76" s="568"/>
      <c r="D76" s="568">
        <v>427613441</v>
      </c>
      <c r="E76" s="568"/>
      <c r="F76" s="568">
        <v>13644763</v>
      </c>
      <c r="G76" s="568"/>
      <c r="H76" s="568">
        <v>4695860</v>
      </c>
      <c r="I76" s="568"/>
      <c r="J76" s="568">
        <v>-4310253</v>
      </c>
      <c r="K76" s="568"/>
      <c r="L76" s="568">
        <v>4959200</v>
      </c>
      <c r="M76" s="568"/>
      <c r="N76" s="568">
        <v>2826710</v>
      </c>
      <c r="O76" s="568"/>
      <c r="P76" s="568">
        <v>1315284</v>
      </c>
      <c r="Q76" s="568"/>
      <c r="R76" s="568"/>
    </row>
    <row r="77" spans="1:18" x14ac:dyDescent="0.25">
      <c r="A77" s="832" t="s">
        <v>950</v>
      </c>
      <c r="B77" s="832"/>
      <c r="C77" s="568"/>
      <c r="D77" s="564">
        <f>SUM(D78:D80)</f>
        <v>629904714</v>
      </c>
      <c r="E77" s="564">
        <f t="shared" ref="E77:F77" si="18">SUM(E78:E80)</f>
        <v>0</v>
      </c>
      <c r="F77" s="564">
        <f t="shared" si="18"/>
        <v>1030874</v>
      </c>
      <c r="G77" s="564">
        <f t="shared" ref="G77" si="19">SUM(G78:G80)</f>
        <v>0</v>
      </c>
      <c r="H77" s="564">
        <f t="shared" ref="H77" si="20">SUM(H78:H80)</f>
        <v>897699</v>
      </c>
      <c r="I77" s="564">
        <f t="shared" ref="I77" si="21">SUM(I78:I80)</f>
        <v>0</v>
      </c>
      <c r="J77" s="564">
        <f t="shared" ref="J77" si="22">SUM(J78:J80)</f>
        <v>753939</v>
      </c>
      <c r="K77" s="564">
        <f t="shared" ref="K77" si="23">SUM(K78:K80)</f>
        <v>0</v>
      </c>
      <c r="L77" s="564">
        <f t="shared" ref="L77" si="24">SUM(L78:L80)</f>
        <v>385136</v>
      </c>
      <c r="M77" s="564">
        <f t="shared" ref="M77" si="25">SUM(M78:M80)</f>
        <v>0</v>
      </c>
      <c r="N77" s="564">
        <f t="shared" ref="N77" si="26">SUM(N78:N80)</f>
        <v>169935</v>
      </c>
      <c r="O77" s="564">
        <f t="shared" ref="O77" si="27">SUM(O78:O80)</f>
        <v>0</v>
      </c>
      <c r="P77" s="564">
        <f t="shared" ref="P77" si="28">SUM(P78:P80)</f>
        <v>626979</v>
      </c>
      <c r="Q77" s="564">
        <f t="shared" ref="Q77" si="29">SUM(Q78:Q80)</f>
        <v>0</v>
      </c>
      <c r="R77" s="564">
        <f t="shared" ref="R77" si="30">SUM(R78:R80)</f>
        <v>13579324</v>
      </c>
    </row>
    <row r="78" spans="1:18" x14ac:dyDescent="0.25">
      <c r="A78" s="566"/>
      <c r="B78" s="566" t="s">
        <v>951</v>
      </c>
      <c r="C78" s="568"/>
      <c r="D78" s="568">
        <v>11339243</v>
      </c>
      <c r="E78" s="568"/>
      <c r="F78" s="568">
        <v>200603</v>
      </c>
      <c r="G78" s="568"/>
      <c r="H78" s="568">
        <v>239355</v>
      </c>
      <c r="I78" s="568"/>
      <c r="J78" s="568">
        <v>742369</v>
      </c>
      <c r="K78" s="568"/>
      <c r="L78" s="568">
        <v>362772</v>
      </c>
      <c r="M78" s="568"/>
      <c r="N78" s="568">
        <v>165250</v>
      </c>
      <c r="O78" s="568"/>
      <c r="P78" s="568">
        <v>611699</v>
      </c>
      <c r="Q78" s="568"/>
      <c r="R78" s="568">
        <v>684213</v>
      </c>
    </row>
    <row r="79" spans="1:18" ht="30" x14ac:dyDescent="0.25">
      <c r="A79" s="566"/>
      <c r="B79" s="566" t="s">
        <v>952</v>
      </c>
      <c r="C79" s="568"/>
      <c r="D79" s="568">
        <v>610303404</v>
      </c>
      <c r="E79" s="568"/>
      <c r="F79" s="568">
        <v>830271</v>
      </c>
      <c r="G79" s="568"/>
      <c r="H79" s="568">
        <v>658344</v>
      </c>
      <c r="I79" s="568"/>
      <c r="J79" s="568">
        <v>11570</v>
      </c>
      <c r="K79" s="568"/>
      <c r="L79" s="568">
        <v>22364</v>
      </c>
      <c r="M79" s="568"/>
      <c r="N79" s="568">
        <v>4685</v>
      </c>
      <c r="O79" s="568"/>
      <c r="P79" s="568">
        <v>15280</v>
      </c>
      <c r="Q79" s="568"/>
      <c r="R79" s="568">
        <v>12840018</v>
      </c>
    </row>
    <row r="80" spans="1:18" x14ac:dyDescent="0.25">
      <c r="A80" s="566"/>
      <c r="B80" s="566" t="s">
        <v>953</v>
      </c>
      <c r="C80" s="568"/>
      <c r="D80" s="568">
        <v>8262067</v>
      </c>
      <c r="E80" s="568"/>
      <c r="F80" s="568"/>
      <c r="G80" s="568"/>
      <c r="H80" s="568"/>
      <c r="I80" s="568"/>
      <c r="J80" s="568"/>
      <c r="K80" s="568"/>
      <c r="L80" s="568"/>
      <c r="M80" s="568"/>
      <c r="N80" s="568"/>
      <c r="O80" s="568"/>
      <c r="P80" s="568"/>
      <c r="Q80" s="568"/>
      <c r="R80" s="568">
        <v>55093</v>
      </c>
    </row>
    <row r="81" spans="1:18" x14ac:dyDescent="0.25">
      <c r="A81" s="832" t="s">
        <v>1041</v>
      </c>
      <c r="B81" s="832"/>
      <c r="C81" s="568"/>
      <c r="D81" s="568"/>
      <c r="E81" s="568"/>
      <c r="F81" s="568"/>
      <c r="G81" s="568"/>
      <c r="H81" s="568"/>
      <c r="I81" s="568"/>
      <c r="J81" s="568"/>
      <c r="K81" s="568"/>
      <c r="L81" s="568"/>
      <c r="M81" s="568"/>
      <c r="N81" s="568"/>
      <c r="O81" s="568"/>
      <c r="P81" s="568"/>
      <c r="Q81" s="568"/>
      <c r="R81" s="568"/>
    </row>
    <row r="82" spans="1:18" ht="25.9" customHeight="1" x14ac:dyDescent="0.25">
      <c r="A82" s="836" t="s">
        <v>1039</v>
      </c>
      <c r="B82" s="836"/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8"/>
      <c r="P82" s="568"/>
      <c r="Q82" s="568"/>
      <c r="R82" s="568"/>
    </row>
    <row r="83" spans="1:18" x14ac:dyDescent="0.25">
      <c r="A83" s="832" t="s">
        <v>1040</v>
      </c>
      <c r="B83" s="832"/>
      <c r="C83" s="564"/>
      <c r="D83" s="564">
        <v>210898557</v>
      </c>
      <c r="E83" s="564"/>
      <c r="F83" s="564">
        <v>23206274</v>
      </c>
      <c r="G83" s="564"/>
      <c r="H83" s="564">
        <v>6301212</v>
      </c>
      <c r="I83" s="564"/>
      <c r="J83" s="564">
        <v>20029584</v>
      </c>
      <c r="K83" s="564"/>
      <c r="L83" s="564">
        <v>24146039</v>
      </c>
      <c r="M83" s="564"/>
      <c r="N83" s="564">
        <v>2154818</v>
      </c>
      <c r="O83" s="564"/>
      <c r="P83" s="564">
        <v>3035984</v>
      </c>
      <c r="Q83" s="564"/>
      <c r="R83" s="564">
        <v>12237999</v>
      </c>
    </row>
    <row r="84" spans="1:18" x14ac:dyDescent="0.25">
      <c r="A84" s="833" t="s">
        <v>954</v>
      </c>
      <c r="B84" s="833"/>
      <c r="C84" s="564"/>
      <c r="D84" s="564">
        <f>+D70+D77+D83</f>
        <v>22936545328</v>
      </c>
      <c r="E84" s="564">
        <f t="shared" ref="E84:F84" si="31">+E70+E77+E83</f>
        <v>0</v>
      </c>
      <c r="F84" s="564">
        <f t="shared" si="31"/>
        <v>49532625</v>
      </c>
      <c r="G84" s="564">
        <f t="shared" ref="G84" si="32">+G70+G77+G83</f>
        <v>0</v>
      </c>
      <c r="H84" s="564">
        <f t="shared" ref="H84" si="33">+H70+H77+H83</f>
        <v>7631577</v>
      </c>
      <c r="I84" s="564">
        <f t="shared" ref="I84" si="34">+I70+I77+I83</f>
        <v>0</v>
      </c>
      <c r="J84" s="564">
        <f t="shared" ref="J84" si="35">+J70+J77+J83</f>
        <v>12507503</v>
      </c>
      <c r="K84" s="564">
        <f t="shared" ref="K84" si="36">+K70+K77+K83</f>
        <v>0</v>
      </c>
      <c r="L84" s="564">
        <f t="shared" ref="L84" si="37">+L70+L77+L83</f>
        <v>21620518</v>
      </c>
      <c r="M84" s="564">
        <f t="shared" ref="M84" si="38">+M70+M77+M83</f>
        <v>0</v>
      </c>
      <c r="N84" s="564">
        <f t="shared" ref="N84" si="39">+N70+N77+N83</f>
        <v>3062395</v>
      </c>
      <c r="O84" s="564">
        <f t="shared" ref="O84" si="40">+O70+O77+O83</f>
        <v>0</v>
      </c>
      <c r="P84" s="564">
        <f t="shared" ref="P84" si="41">+P70+P77+P83</f>
        <v>8957368</v>
      </c>
      <c r="Q84" s="564">
        <f t="shared" ref="Q84" si="42">+Q70+Q77+Q83</f>
        <v>0</v>
      </c>
      <c r="R84" s="564">
        <f t="shared" ref="R84" si="43">+R70+R77+R83</f>
        <v>76045255</v>
      </c>
    </row>
    <row r="86" spans="1:18" x14ac:dyDescent="0.25">
      <c r="D86" s="575">
        <f>+D84-D69</f>
        <v>0</v>
      </c>
      <c r="E86" s="575"/>
      <c r="F86" s="575">
        <f t="shared" ref="F86:R86" si="44">+F84-F69</f>
        <v>0</v>
      </c>
      <c r="G86" s="575"/>
      <c r="H86" s="575">
        <f t="shared" si="44"/>
        <v>0</v>
      </c>
      <c r="I86" s="575"/>
      <c r="J86" s="575">
        <f t="shared" si="44"/>
        <v>0</v>
      </c>
      <c r="K86" s="575"/>
      <c r="L86" s="575">
        <f t="shared" si="44"/>
        <v>0</v>
      </c>
      <c r="M86" s="575"/>
      <c r="N86" s="575">
        <f t="shared" si="44"/>
        <v>0</v>
      </c>
      <c r="O86" s="575"/>
      <c r="P86" s="575">
        <f t="shared" si="44"/>
        <v>0</v>
      </c>
      <c r="Q86" s="575"/>
      <c r="R86" s="575">
        <f t="shared" si="44"/>
        <v>0</v>
      </c>
    </row>
  </sheetData>
  <mergeCells count="22">
    <mergeCell ref="A81:B81"/>
    <mergeCell ref="A82:B82"/>
    <mergeCell ref="A83:B83"/>
    <mergeCell ref="A84:B84"/>
    <mergeCell ref="A63:B63"/>
    <mergeCell ref="A67:B67"/>
    <mergeCell ref="A68:B68"/>
    <mergeCell ref="A69:B69"/>
    <mergeCell ref="A70:B70"/>
    <mergeCell ref="A77:B77"/>
    <mergeCell ref="M1:N1"/>
    <mergeCell ref="O1:P1"/>
    <mergeCell ref="Q1:R1"/>
    <mergeCell ref="A3:B3"/>
    <mergeCell ref="A54:B54"/>
    <mergeCell ref="I1:J1"/>
    <mergeCell ref="K1:L1"/>
    <mergeCell ref="A57:B57"/>
    <mergeCell ref="A1:B2"/>
    <mergeCell ref="C1:D1"/>
    <mergeCell ref="E1:F1"/>
    <mergeCell ref="G1:H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&amp;CDunaharaszti Város Önkormányzata
2016. évi zárszámadás
Vagyonkimutatás (e Ft)&amp;R&amp;A</oddHeader>
    <oddFooter>&amp;C&amp;P/&amp;N</oddFooter>
  </headerFooter>
  <rowBreaks count="2" manualBreakCount="2">
    <brk id="32" max="16383" man="1"/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54"/>
  <sheetViews>
    <sheetView view="pageBreakPreview" zoomScale="80" zoomScaleNormal="100" zoomScaleSheetLayoutView="80" workbookViewId="0">
      <selection activeCell="B54" sqref="B54"/>
    </sheetView>
  </sheetViews>
  <sheetFormatPr defaultColWidth="8.85546875" defaultRowHeight="12.75" x14ac:dyDescent="0.2"/>
  <cols>
    <col min="1" max="1" width="7.28515625" style="114" customWidth="1"/>
    <col min="2" max="2" width="72.140625" style="114" bestFit="1" customWidth="1"/>
    <col min="3" max="3" width="14.85546875" style="114" customWidth="1"/>
    <col min="4" max="5" width="12.140625" style="403" customWidth="1"/>
    <col min="6" max="10" width="12.140625" style="114" customWidth="1"/>
    <col min="11" max="11" width="12.7109375" style="114" customWidth="1"/>
    <col min="12" max="14" width="12.140625" style="114" customWidth="1"/>
    <col min="15" max="15" width="12.7109375" style="114" bestFit="1" customWidth="1"/>
    <col min="16" max="16" width="12" style="114" bestFit="1" customWidth="1"/>
    <col min="17" max="17" width="11.7109375" style="114" bestFit="1" customWidth="1"/>
    <col min="18" max="256" width="8.85546875" style="114"/>
    <col min="257" max="257" width="7.28515625" style="114" customWidth="1"/>
    <col min="258" max="258" width="72.140625" style="114" bestFit="1" customWidth="1"/>
    <col min="259" max="259" width="14.85546875" style="114" customWidth="1"/>
    <col min="260" max="266" width="12.140625" style="114" customWidth="1"/>
    <col min="267" max="267" width="12.7109375" style="114" customWidth="1"/>
    <col min="268" max="270" width="12.140625" style="114" customWidth="1"/>
    <col min="271" max="271" width="12.7109375" style="114" bestFit="1" customWidth="1"/>
    <col min="272" max="272" width="12" style="114" bestFit="1" customWidth="1"/>
    <col min="273" max="273" width="11.7109375" style="114" bestFit="1" customWidth="1"/>
    <col min="274" max="512" width="8.85546875" style="114"/>
    <col min="513" max="513" width="7.28515625" style="114" customWidth="1"/>
    <col min="514" max="514" width="72.140625" style="114" bestFit="1" customWidth="1"/>
    <col min="515" max="515" width="14.85546875" style="114" customWidth="1"/>
    <col min="516" max="522" width="12.140625" style="114" customWidth="1"/>
    <col min="523" max="523" width="12.7109375" style="114" customWidth="1"/>
    <col min="524" max="526" width="12.140625" style="114" customWidth="1"/>
    <col min="527" max="527" width="12.7109375" style="114" bestFit="1" customWidth="1"/>
    <col min="528" max="528" width="12" style="114" bestFit="1" customWidth="1"/>
    <col min="529" max="529" width="11.7109375" style="114" bestFit="1" customWidth="1"/>
    <col min="530" max="768" width="8.85546875" style="114"/>
    <col min="769" max="769" width="7.28515625" style="114" customWidth="1"/>
    <col min="770" max="770" width="72.140625" style="114" bestFit="1" customWidth="1"/>
    <col min="771" max="771" width="14.85546875" style="114" customWidth="1"/>
    <col min="772" max="778" width="12.140625" style="114" customWidth="1"/>
    <col min="779" max="779" width="12.7109375" style="114" customWidth="1"/>
    <col min="780" max="782" width="12.140625" style="114" customWidth="1"/>
    <col min="783" max="783" width="12.7109375" style="114" bestFit="1" customWidth="1"/>
    <col min="784" max="784" width="12" style="114" bestFit="1" customWidth="1"/>
    <col min="785" max="785" width="11.7109375" style="114" bestFit="1" customWidth="1"/>
    <col min="786" max="1024" width="8.85546875" style="114"/>
    <col min="1025" max="1025" width="7.28515625" style="114" customWidth="1"/>
    <col min="1026" max="1026" width="72.140625" style="114" bestFit="1" customWidth="1"/>
    <col min="1027" max="1027" width="14.85546875" style="114" customWidth="1"/>
    <col min="1028" max="1034" width="12.140625" style="114" customWidth="1"/>
    <col min="1035" max="1035" width="12.7109375" style="114" customWidth="1"/>
    <col min="1036" max="1038" width="12.140625" style="114" customWidth="1"/>
    <col min="1039" max="1039" width="12.7109375" style="114" bestFit="1" customWidth="1"/>
    <col min="1040" max="1040" width="12" style="114" bestFit="1" customWidth="1"/>
    <col min="1041" max="1041" width="11.7109375" style="114" bestFit="1" customWidth="1"/>
    <col min="1042" max="1280" width="8.85546875" style="114"/>
    <col min="1281" max="1281" width="7.28515625" style="114" customWidth="1"/>
    <col min="1282" max="1282" width="72.140625" style="114" bestFit="1" customWidth="1"/>
    <col min="1283" max="1283" width="14.85546875" style="114" customWidth="1"/>
    <col min="1284" max="1290" width="12.140625" style="114" customWidth="1"/>
    <col min="1291" max="1291" width="12.7109375" style="114" customWidth="1"/>
    <col min="1292" max="1294" width="12.140625" style="114" customWidth="1"/>
    <col min="1295" max="1295" width="12.7109375" style="114" bestFit="1" customWidth="1"/>
    <col min="1296" max="1296" width="12" style="114" bestFit="1" customWidth="1"/>
    <col min="1297" max="1297" width="11.7109375" style="114" bestFit="1" customWidth="1"/>
    <col min="1298" max="1536" width="8.85546875" style="114"/>
    <col min="1537" max="1537" width="7.28515625" style="114" customWidth="1"/>
    <col min="1538" max="1538" width="72.140625" style="114" bestFit="1" customWidth="1"/>
    <col min="1539" max="1539" width="14.85546875" style="114" customWidth="1"/>
    <col min="1540" max="1546" width="12.140625" style="114" customWidth="1"/>
    <col min="1547" max="1547" width="12.7109375" style="114" customWidth="1"/>
    <col min="1548" max="1550" width="12.140625" style="114" customWidth="1"/>
    <col min="1551" max="1551" width="12.7109375" style="114" bestFit="1" customWidth="1"/>
    <col min="1552" max="1552" width="12" style="114" bestFit="1" customWidth="1"/>
    <col min="1553" max="1553" width="11.7109375" style="114" bestFit="1" customWidth="1"/>
    <col min="1554" max="1792" width="8.85546875" style="114"/>
    <col min="1793" max="1793" width="7.28515625" style="114" customWidth="1"/>
    <col min="1794" max="1794" width="72.140625" style="114" bestFit="1" customWidth="1"/>
    <col min="1795" max="1795" width="14.85546875" style="114" customWidth="1"/>
    <col min="1796" max="1802" width="12.140625" style="114" customWidth="1"/>
    <col min="1803" max="1803" width="12.7109375" style="114" customWidth="1"/>
    <col min="1804" max="1806" width="12.140625" style="114" customWidth="1"/>
    <col min="1807" max="1807" width="12.7109375" style="114" bestFit="1" customWidth="1"/>
    <col min="1808" max="1808" width="12" style="114" bestFit="1" customWidth="1"/>
    <col min="1809" max="1809" width="11.7109375" style="114" bestFit="1" customWidth="1"/>
    <col min="1810" max="2048" width="8.85546875" style="114"/>
    <col min="2049" max="2049" width="7.28515625" style="114" customWidth="1"/>
    <col min="2050" max="2050" width="72.140625" style="114" bestFit="1" customWidth="1"/>
    <col min="2051" max="2051" width="14.85546875" style="114" customWidth="1"/>
    <col min="2052" max="2058" width="12.140625" style="114" customWidth="1"/>
    <col min="2059" max="2059" width="12.7109375" style="114" customWidth="1"/>
    <col min="2060" max="2062" width="12.140625" style="114" customWidth="1"/>
    <col min="2063" max="2063" width="12.7109375" style="114" bestFit="1" customWidth="1"/>
    <col min="2064" max="2064" width="12" style="114" bestFit="1" customWidth="1"/>
    <col min="2065" max="2065" width="11.7109375" style="114" bestFit="1" customWidth="1"/>
    <col min="2066" max="2304" width="8.85546875" style="114"/>
    <col min="2305" max="2305" width="7.28515625" style="114" customWidth="1"/>
    <col min="2306" max="2306" width="72.140625" style="114" bestFit="1" customWidth="1"/>
    <col min="2307" max="2307" width="14.85546875" style="114" customWidth="1"/>
    <col min="2308" max="2314" width="12.140625" style="114" customWidth="1"/>
    <col min="2315" max="2315" width="12.7109375" style="114" customWidth="1"/>
    <col min="2316" max="2318" width="12.140625" style="114" customWidth="1"/>
    <col min="2319" max="2319" width="12.7109375" style="114" bestFit="1" customWidth="1"/>
    <col min="2320" max="2320" width="12" style="114" bestFit="1" customWidth="1"/>
    <col min="2321" max="2321" width="11.7109375" style="114" bestFit="1" customWidth="1"/>
    <col min="2322" max="2560" width="8.85546875" style="114"/>
    <col min="2561" max="2561" width="7.28515625" style="114" customWidth="1"/>
    <col min="2562" max="2562" width="72.140625" style="114" bestFit="1" customWidth="1"/>
    <col min="2563" max="2563" width="14.85546875" style="114" customWidth="1"/>
    <col min="2564" max="2570" width="12.140625" style="114" customWidth="1"/>
    <col min="2571" max="2571" width="12.7109375" style="114" customWidth="1"/>
    <col min="2572" max="2574" width="12.140625" style="114" customWidth="1"/>
    <col min="2575" max="2575" width="12.7109375" style="114" bestFit="1" customWidth="1"/>
    <col min="2576" max="2576" width="12" style="114" bestFit="1" customWidth="1"/>
    <col min="2577" max="2577" width="11.7109375" style="114" bestFit="1" customWidth="1"/>
    <col min="2578" max="2816" width="8.85546875" style="114"/>
    <col min="2817" max="2817" width="7.28515625" style="114" customWidth="1"/>
    <col min="2818" max="2818" width="72.140625" style="114" bestFit="1" customWidth="1"/>
    <col min="2819" max="2819" width="14.85546875" style="114" customWidth="1"/>
    <col min="2820" max="2826" width="12.140625" style="114" customWidth="1"/>
    <col min="2827" max="2827" width="12.7109375" style="114" customWidth="1"/>
    <col min="2828" max="2830" width="12.140625" style="114" customWidth="1"/>
    <col min="2831" max="2831" width="12.7109375" style="114" bestFit="1" customWidth="1"/>
    <col min="2832" max="2832" width="12" style="114" bestFit="1" customWidth="1"/>
    <col min="2833" max="2833" width="11.7109375" style="114" bestFit="1" customWidth="1"/>
    <col min="2834" max="3072" width="8.85546875" style="114"/>
    <col min="3073" max="3073" width="7.28515625" style="114" customWidth="1"/>
    <col min="3074" max="3074" width="72.140625" style="114" bestFit="1" customWidth="1"/>
    <col min="3075" max="3075" width="14.85546875" style="114" customWidth="1"/>
    <col min="3076" max="3082" width="12.140625" style="114" customWidth="1"/>
    <col min="3083" max="3083" width="12.7109375" style="114" customWidth="1"/>
    <col min="3084" max="3086" width="12.140625" style="114" customWidth="1"/>
    <col min="3087" max="3087" width="12.7109375" style="114" bestFit="1" customWidth="1"/>
    <col min="3088" max="3088" width="12" style="114" bestFit="1" customWidth="1"/>
    <col min="3089" max="3089" width="11.7109375" style="114" bestFit="1" customWidth="1"/>
    <col min="3090" max="3328" width="8.85546875" style="114"/>
    <col min="3329" max="3329" width="7.28515625" style="114" customWidth="1"/>
    <col min="3330" max="3330" width="72.140625" style="114" bestFit="1" customWidth="1"/>
    <col min="3331" max="3331" width="14.85546875" style="114" customWidth="1"/>
    <col min="3332" max="3338" width="12.140625" style="114" customWidth="1"/>
    <col min="3339" max="3339" width="12.7109375" style="114" customWidth="1"/>
    <col min="3340" max="3342" width="12.140625" style="114" customWidth="1"/>
    <col min="3343" max="3343" width="12.7109375" style="114" bestFit="1" customWidth="1"/>
    <col min="3344" max="3344" width="12" style="114" bestFit="1" customWidth="1"/>
    <col min="3345" max="3345" width="11.7109375" style="114" bestFit="1" customWidth="1"/>
    <col min="3346" max="3584" width="8.85546875" style="114"/>
    <col min="3585" max="3585" width="7.28515625" style="114" customWidth="1"/>
    <col min="3586" max="3586" width="72.140625" style="114" bestFit="1" customWidth="1"/>
    <col min="3587" max="3587" width="14.85546875" style="114" customWidth="1"/>
    <col min="3588" max="3594" width="12.140625" style="114" customWidth="1"/>
    <col min="3595" max="3595" width="12.7109375" style="114" customWidth="1"/>
    <col min="3596" max="3598" width="12.140625" style="114" customWidth="1"/>
    <col min="3599" max="3599" width="12.7109375" style="114" bestFit="1" customWidth="1"/>
    <col min="3600" max="3600" width="12" style="114" bestFit="1" customWidth="1"/>
    <col min="3601" max="3601" width="11.7109375" style="114" bestFit="1" customWidth="1"/>
    <col min="3602" max="3840" width="8.85546875" style="114"/>
    <col min="3841" max="3841" width="7.28515625" style="114" customWidth="1"/>
    <col min="3842" max="3842" width="72.140625" style="114" bestFit="1" customWidth="1"/>
    <col min="3843" max="3843" width="14.85546875" style="114" customWidth="1"/>
    <col min="3844" max="3850" width="12.140625" style="114" customWidth="1"/>
    <col min="3851" max="3851" width="12.7109375" style="114" customWidth="1"/>
    <col min="3852" max="3854" width="12.140625" style="114" customWidth="1"/>
    <col min="3855" max="3855" width="12.7109375" style="114" bestFit="1" customWidth="1"/>
    <col min="3856" max="3856" width="12" style="114" bestFit="1" customWidth="1"/>
    <col min="3857" max="3857" width="11.7109375" style="114" bestFit="1" customWidth="1"/>
    <col min="3858" max="4096" width="8.85546875" style="114"/>
    <col min="4097" max="4097" width="7.28515625" style="114" customWidth="1"/>
    <col min="4098" max="4098" width="72.140625" style="114" bestFit="1" customWidth="1"/>
    <col min="4099" max="4099" width="14.85546875" style="114" customWidth="1"/>
    <col min="4100" max="4106" width="12.140625" style="114" customWidth="1"/>
    <col min="4107" max="4107" width="12.7109375" style="114" customWidth="1"/>
    <col min="4108" max="4110" width="12.140625" style="114" customWidth="1"/>
    <col min="4111" max="4111" width="12.7109375" style="114" bestFit="1" customWidth="1"/>
    <col min="4112" max="4112" width="12" style="114" bestFit="1" customWidth="1"/>
    <col min="4113" max="4113" width="11.7109375" style="114" bestFit="1" customWidth="1"/>
    <col min="4114" max="4352" width="8.85546875" style="114"/>
    <col min="4353" max="4353" width="7.28515625" style="114" customWidth="1"/>
    <col min="4354" max="4354" width="72.140625" style="114" bestFit="1" customWidth="1"/>
    <col min="4355" max="4355" width="14.85546875" style="114" customWidth="1"/>
    <col min="4356" max="4362" width="12.140625" style="114" customWidth="1"/>
    <col min="4363" max="4363" width="12.7109375" style="114" customWidth="1"/>
    <col min="4364" max="4366" width="12.140625" style="114" customWidth="1"/>
    <col min="4367" max="4367" width="12.7109375" style="114" bestFit="1" customWidth="1"/>
    <col min="4368" max="4368" width="12" style="114" bestFit="1" customWidth="1"/>
    <col min="4369" max="4369" width="11.7109375" style="114" bestFit="1" customWidth="1"/>
    <col min="4370" max="4608" width="8.85546875" style="114"/>
    <col min="4609" max="4609" width="7.28515625" style="114" customWidth="1"/>
    <col min="4610" max="4610" width="72.140625" style="114" bestFit="1" customWidth="1"/>
    <col min="4611" max="4611" width="14.85546875" style="114" customWidth="1"/>
    <col min="4612" max="4618" width="12.140625" style="114" customWidth="1"/>
    <col min="4619" max="4619" width="12.7109375" style="114" customWidth="1"/>
    <col min="4620" max="4622" width="12.140625" style="114" customWidth="1"/>
    <col min="4623" max="4623" width="12.7109375" style="114" bestFit="1" customWidth="1"/>
    <col min="4624" max="4624" width="12" style="114" bestFit="1" customWidth="1"/>
    <col min="4625" max="4625" width="11.7109375" style="114" bestFit="1" customWidth="1"/>
    <col min="4626" max="4864" width="8.85546875" style="114"/>
    <col min="4865" max="4865" width="7.28515625" style="114" customWidth="1"/>
    <col min="4866" max="4866" width="72.140625" style="114" bestFit="1" customWidth="1"/>
    <col min="4867" max="4867" width="14.85546875" style="114" customWidth="1"/>
    <col min="4868" max="4874" width="12.140625" style="114" customWidth="1"/>
    <col min="4875" max="4875" width="12.7109375" style="114" customWidth="1"/>
    <col min="4876" max="4878" width="12.140625" style="114" customWidth="1"/>
    <col min="4879" max="4879" width="12.7109375" style="114" bestFit="1" customWidth="1"/>
    <col min="4880" max="4880" width="12" style="114" bestFit="1" customWidth="1"/>
    <col min="4881" max="4881" width="11.7109375" style="114" bestFit="1" customWidth="1"/>
    <col min="4882" max="5120" width="8.85546875" style="114"/>
    <col min="5121" max="5121" width="7.28515625" style="114" customWidth="1"/>
    <col min="5122" max="5122" width="72.140625" style="114" bestFit="1" customWidth="1"/>
    <col min="5123" max="5123" width="14.85546875" style="114" customWidth="1"/>
    <col min="5124" max="5130" width="12.140625" style="114" customWidth="1"/>
    <col min="5131" max="5131" width="12.7109375" style="114" customWidth="1"/>
    <col min="5132" max="5134" width="12.140625" style="114" customWidth="1"/>
    <col min="5135" max="5135" width="12.7109375" style="114" bestFit="1" customWidth="1"/>
    <col min="5136" max="5136" width="12" style="114" bestFit="1" customWidth="1"/>
    <col min="5137" max="5137" width="11.7109375" style="114" bestFit="1" customWidth="1"/>
    <col min="5138" max="5376" width="8.85546875" style="114"/>
    <col min="5377" max="5377" width="7.28515625" style="114" customWidth="1"/>
    <col min="5378" max="5378" width="72.140625" style="114" bestFit="1" customWidth="1"/>
    <col min="5379" max="5379" width="14.85546875" style="114" customWidth="1"/>
    <col min="5380" max="5386" width="12.140625" style="114" customWidth="1"/>
    <col min="5387" max="5387" width="12.7109375" style="114" customWidth="1"/>
    <col min="5388" max="5390" width="12.140625" style="114" customWidth="1"/>
    <col min="5391" max="5391" width="12.7109375" style="114" bestFit="1" customWidth="1"/>
    <col min="5392" max="5392" width="12" style="114" bestFit="1" customWidth="1"/>
    <col min="5393" max="5393" width="11.7109375" style="114" bestFit="1" customWidth="1"/>
    <col min="5394" max="5632" width="8.85546875" style="114"/>
    <col min="5633" max="5633" width="7.28515625" style="114" customWidth="1"/>
    <col min="5634" max="5634" width="72.140625" style="114" bestFit="1" customWidth="1"/>
    <col min="5635" max="5635" width="14.85546875" style="114" customWidth="1"/>
    <col min="5636" max="5642" width="12.140625" style="114" customWidth="1"/>
    <col min="5643" max="5643" width="12.7109375" style="114" customWidth="1"/>
    <col min="5644" max="5646" width="12.140625" style="114" customWidth="1"/>
    <col min="5647" max="5647" width="12.7109375" style="114" bestFit="1" customWidth="1"/>
    <col min="5648" max="5648" width="12" style="114" bestFit="1" customWidth="1"/>
    <col min="5649" max="5649" width="11.7109375" style="114" bestFit="1" customWidth="1"/>
    <col min="5650" max="5888" width="8.85546875" style="114"/>
    <col min="5889" max="5889" width="7.28515625" style="114" customWidth="1"/>
    <col min="5890" max="5890" width="72.140625" style="114" bestFit="1" customWidth="1"/>
    <col min="5891" max="5891" width="14.85546875" style="114" customWidth="1"/>
    <col min="5892" max="5898" width="12.140625" style="114" customWidth="1"/>
    <col min="5899" max="5899" width="12.7109375" style="114" customWidth="1"/>
    <col min="5900" max="5902" width="12.140625" style="114" customWidth="1"/>
    <col min="5903" max="5903" width="12.7109375" style="114" bestFit="1" customWidth="1"/>
    <col min="5904" max="5904" width="12" style="114" bestFit="1" customWidth="1"/>
    <col min="5905" max="5905" width="11.7109375" style="114" bestFit="1" customWidth="1"/>
    <col min="5906" max="6144" width="8.85546875" style="114"/>
    <col min="6145" max="6145" width="7.28515625" style="114" customWidth="1"/>
    <col min="6146" max="6146" width="72.140625" style="114" bestFit="1" customWidth="1"/>
    <col min="6147" max="6147" width="14.85546875" style="114" customWidth="1"/>
    <col min="6148" max="6154" width="12.140625" style="114" customWidth="1"/>
    <col min="6155" max="6155" width="12.7109375" style="114" customWidth="1"/>
    <col min="6156" max="6158" width="12.140625" style="114" customWidth="1"/>
    <col min="6159" max="6159" width="12.7109375" style="114" bestFit="1" customWidth="1"/>
    <col min="6160" max="6160" width="12" style="114" bestFit="1" customWidth="1"/>
    <col min="6161" max="6161" width="11.7109375" style="114" bestFit="1" customWidth="1"/>
    <col min="6162" max="6400" width="8.85546875" style="114"/>
    <col min="6401" max="6401" width="7.28515625" style="114" customWidth="1"/>
    <col min="6402" max="6402" width="72.140625" style="114" bestFit="1" customWidth="1"/>
    <col min="6403" max="6403" width="14.85546875" style="114" customWidth="1"/>
    <col min="6404" max="6410" width="12.140625" style="114" customWidth="1"/>
    <col min="6411" max="6411" width="12.7109375" style="114" customWidth="1"/>
    <col min="6412" max="6414" width="12.140625" style="114" customWidth="1"/>
    <col min="6415" max="6415" width="12.7109375" style="114" bestFit="1" customWidth="1"/>
    <col min="6416" max="6416" width="12" style="114" bestFit="1" customWidth="1"/>
    <col min="6417" max="6417" width="11.7109375" style="114" bestFit="1" customWidth="1"/>
    <col min="6418" max="6656" width="8.85546875" style="114"/>
    <col min="6657" max="6657" width="7.28515625" style="114" customWidth="1"/>
    <col min="6658" max="6658" width="72.140625" style="114" bestFit="1" customWidth="1"/>
    <col min="6659" max="6659" width="14.85546875" style="114" customWidth="1"/>
    <col min="6660" max="6666" width="12.140625" style="114" customWidth="1"/>
    <col min="6667" max="6667" width="12.7109375" style="114" customWidth="1"/>
    <col min="6668" max="6670" width="12.140625" style="114" customWidth="1"/>
    <col min="6671" max="6671" width="12.7109375" style="114" bestFit="1" customWidth="1"/>
    <col min="6672" max="6672" width="12" style="114" bestFit="1" customWidth="1"/>
    <col min="6673" max="6673" width="11.7109375" style="114" bestFit="1" customWidth="1"/>
    <col min="6674" max="6912" width="8.85546875" style="114"/>
    <col min="6913" max="6913" width="7.28515625" style="114" customWidth="1"/>
    <col min="6914" max="6914" width="72.140625" style="114" bestFit="1" customWidth="1"/>
    <col min="6915" max="6915" width="14.85546875" style="114" customWidth="1"/>
    <col min="6916" max="6922" width="12.140625" style="114" customWidth="1"/>
    <col min="6923" max="6923" width="12.7109375" style="114" customWidth="1"/>
    <col min="6924" max="6926" width="12.140625" style="114" customWidth="1"/>
    <col min="6927" max="6927" width="12.7109375" style="114" bestFit="1" customWidth="1"/>
    <col min="6928" max="6928" width="12" style="114" bestFit="1" customWidth="1"/>
    <col min="6929" max="6929" width="11.7109375" style="114" bestFit="1" customWidth="1"/>
    <col min="6930" max="7168" width="8.85546875" style="114"/>
    <col min="7169" max="7169" width="7.28515625" style="114" customWidth="1"/>
    <col min="7170" max="7170" width="72.140625" style="114" bestFit="1" customWidth="1"/>
    <col min="7171" max="7171" width="14.85546875" style="114" customWidth="1"/>
    <col min="7172" max="7178" width="12.140625" style="114" customWidth="1"/>
    <col min="7179" max="7179" width="12.7109375" style="114" customWidth="1"/>
    <col min="7180" max="7182" width="12.140625" style="114" customWidth="1"/>
    <col min="7183" max="7183" width="12.7109375" style="114" bestFit="1" customWidth="1"/>
    <col min="7184" max="7184" width="12" style="114" bestFit="1" customWidth="1"/>
    <col min="7185" max="7185" width="11.7109375" style="114" bestFit="1" customWidth="1"/>
    <col min="7186" max="7424" width="8.85546875" style="114"/>
    <col min="7425" max="7425" width="7.28515625" style="114" customWidth="1"/>
    <col min="7426" max="7426" width="72.140625" style="114" bestFit="1" customWidth="1"/>
    <col min="7427" max="7427" width="14.85546875" style="114" customWidth="1"/>
    <col min="7428" max="7434" width="12.140625" style="114" customWidth="1"/>
    <col min="7435" max="7435" width="12.7109375" style="114" customWidth="1"/>
    <col min="7436" max="7438" width="12.140625" style="114" customWidth="1"/>
    <col min="7439" max="7439" width="12.7109375" style="114" bestFit="1" customWidth="1"/>
    <col min="7440" max="7440" width="12" style="114" bestFit="1" customWidth="1"/>
    <col min="7441" max="7441" width="11.7109375" style="114" bestFit="1" customWidth="1"/>
    <col min="7442" max="7680" width="8.85546875" style="114"/>
    <col min="7681" max="7681" width="7.28515625" style="114" customWidth="1"/>
    <col min="7682" max="7682" width="72.140625" style="114" bestFit="1" customWidth="1"/>
    <col min="7683" max="7683" width="14.85546875" style="114" customWidth="1"/>
    <col min="7684" max="7690" width="12.140625" style="114" customWidth="1"/>
    <col min="7691" max="7691" width="12.7109375" style="114" customWidth="1"/>
    <col min="7692" max="7694" width="12.140625" style="114" customWidth="1"/>
    <col min="7695" max="7695" width="12.7109375" style="114" bestFit="1" customWidth="1"/>
    <col min="7696" max="7696" width="12" style="114" bestFit="1" customWidth="1"/>
    <col min="7697" max="7697" width="11.7109375" style="114" bestFit="1" customWidth="1"/>
    <col min="7698" max="7936" width="8.85546875" style="114"/>
    <col min="7937" max="7937" width="7.28515625" style="114" customWidth="1"/>
    <col min="7938" max="7938" width="72.140625" style="114" bestFit="1" customWidth="1"/>
    <col min="7939" max="7939" width="14.85546875" style="114" customWidth="1"/>
    <col min="7940" max="7946" width="12.140625" style="114" customWidth="1"/>
    <col min="7947" max="7947" width="12.7109375" style="114" customWidth="1"/>
    <col min="7948" max="7950" width="12.140625" style="114" customWidth="1"/>
    <col min="7951" max="7951" width="12.7109375" style="114" bestFit="1" customWidth="1"/>
    <col min="7952" max="7952" width="12" style="114" bestFit="1" customWidth="1"/>
    <col min="7953" max="7953" width="11.7109375" style="114" bestFit="1" customWidth="1"/>
    <col min="7954" max="8192" width="8.85546875" style="114"/>
    <col min="8193" max="8193" width="7.28515625" style="114" customWidth="1"/>
    <col min="8194" max="8194" width="72.140625" style="114" bestFit="1" customWidth="1"/>
    <col min="8195" max="8195" width="14.85546875" style="114" customWidth="1"/>
    <col min="8196" max="8202" width="12.140625" style="114" customWidth="1"/>
    <col min="8203" max="8203" width="12.7109375" style="114" customWidth="1"/>
    <col min="8204" max="8206" width="12.140625" style="114" customWidth="1"/>
    <col min="8207" max="8207" width="12.7109375" style="114" bestFit="1" customWidth="1"/>
    <col min="8208" max="8208" width="12" style="114" bestFit="1" customWidth="1"/>
    <col min="8209" max="8209" width="11.7109375" style="114" bestFit="1" customWidth="1"/>
    <col min="8210" max="8448" width="8.85546875" style="114"/>
    <col min="8449" max="8449" width="7.28515625" style="114" customWidth="1"/>
    <col min="8450" max="8450" width="72.140625" style="114" bestFit="1" customWidth="1"/>
    <col min="8451" max="8451" width="14.85546875" style="114" customWidth="1"/>
    <col min="8452" max="8458" width="12.140625" style="114" customWidth="1"/>
    <col min="8459" max="8459" width="12.7109375" style="114" customWidth="1"/>
    <col min="8460" max="8462" width="12.140625" style="114" customWidth="1"/>
    <col min="8463" max="8463" width="12.7109375" style="114" bestFit="1" customWidth="1"/>
    <col min="8464" max="8464" width="12" style="114" bestFit="1" customWidth="1"/>
    <col min="8465" max="8465" width="11.7109375" style="114" bestFit="1" customWidth="1"/>
    <col min="8466" max="8704" width="8.85546875" style="114"/>
    <col min="8705" max="8705" width="7.28515625" style="114" customWidth="1"/>
    <col min="8706" max="8706" width="72.140625" style="114" bestFit="1" customWidth="1"/>
    <col min="8707" max="8707" width="14.85546875" style="114" customWidth="1"/>
    <col min="8708" max="8714" width="12.140625" style="114" customWidth="1"/>
    <col min="8715" max="8715" width="12.7109375" style="114" customWidth="1"/>
    <col min="8716" max="8718" width="12.140625" style="114" customWidth="1"/>
    <col min="8719" max="8719" width="12.7109375" style="114" bestFit="1" customWidth="1"/>
    <col min="8720" max="8720" width="12" style="114" bestFit="1" customWidth="1"/>
    <col min="8721" max="8721" width="11.7109375" style="114" bestFit="1" customWidth="1"/>
    <col min="8722" max="8960" width="8.85546875" style="114"/>
    <col min="8961" max="8961" width="7.28515625" style="114" customWidth="1"/>
    <col min="8962" max="8962" width="72.140625" style="114" bestFit="1" customWidth="1"/>
    <col min="8963" max="8963" width="14.85546875" style="114" customWidth="1"/>
    <col min="8964" max="8970" width="12.140625" style="114" customWidth="1"/>
    <col min="8971" max="8971" width="12.7109375" style="114" customWidth="1"/>
    <col min="8972" max="8974" width="12.140625" style="114" customWidth="1"/>
    <col min="8975" max="8975" width="12.7109375" style="114" bestFit="1" customWidth="1"/>
    <col min="8976" max="8976" width="12" style="114" bestFit="1" customWidth="1"/>
    <col min="8977" max="8977" width="11.7109375" style="114" bestFit="1" customWidth="1"/>
    <col min="8978" max="9216" width="8.85546875" style="114"/>
    <col min="9217" max="9217" width="7.28515625" style="114" customWidth="1"/>
    <col min="9218" max="9218" width="72.140625" style="114" bestFit="1" customWidth="1"/>
    <col min="9219" max="9219" width="14.85546875" style="114" customWidth="1"/>
    <col min="9220" max="9226" width="12.140625" style="114" customWidth="1"/>
    <col min="9227" max="9227" width="12.7109375" style="114" customWidth="1"/>
    <col min="9228" max="9230" width="12.140625" style="114" customWidth="1"/>
    <col min="9231" max="9231" width="12.7109375" style="114" bestFit="1" customWidth="1"/>
    <col min="9232" max="9232" width="12" style="114" bestFit="1" customWidth="1"/>
    <col min="9233" max="9233" width="11.7109375" style="114" bestFit="1" customWidth="1"/>
    <col min="9234" max="9472" width="8.85546875" style="114"/>
    <col min="9473" max="9473" width="7.28515625" style="114" customWidth="1"/>
    <col min="9474" max="9474" width="72.140625" style="114" bestFit="1" customWidth="1"/>
    <col min="9475" max="9475" width="14.85546875" style="114" customWidth="1"/>
    <col min="9476" max="9482" width="12.140625" style="114" customWidth="1"/>
    <col min="9483" max="9483" width="12.7109375" style="114" customWidth="1"/>
    <col min="9484" max="9486" width="12.140625" style="114" customWidth="1"/>
    <col min="9487" max="9487" width="12.7109375" style="114" bestFit="1" customWidth="1"/>
    <col min="9488" max="9488" width="12" style="114" bestFit="1" customWidth="1"/>
    <col min="9489" max="9489" width="11.7109375" style="114" bestFit="1" customWidth="1"/>
    <col min="9490" max="9728" width="8.85546875" style="114"/>
    <col min="9729" max="9729" width="7.28515625" style="114" customWidth="1"/>
    <col min="9730" max="9730" width="72.140625" style="114" bestFit="1" customWidth="1"/>
    <col min="9731" max="9731" width="14.85546875" style="114" customWidth="1"/>
    <col min="9732" max="9738" width="12.140625" style="114" customWidth="1"/>
    <col min="9739" max="9739" width="12.7109375" style="114" customWidth="1"/>
    <col min="9740" max="9742" width="12.140625" style="114" customWidth="1"/>
    <col min="9743" max="9743" width="12.7109375" style="114" bestFit="1" customWidth="1"/>
    <col min="9744" max="9744" width="12" style="114" bestFit="1" customWidth="1"/>
    <col min="9745" max="9745" width="11.7109375" style="114" bestFit="1" customWidth="1"/>
    <col min="9746" max="9984" width="8.85546875" style="114"/>
    <col min="9985" max="9985" width="7.28515625" style="114" customWidth="1"/>
    <col min="9986" max="9986" width="72.140625" style="114" bestFit="1" customWidth="1"/>
    <col min="9987" max="9987" width="14.85546875" style="114" customWidth="1"/>
    <col min="9988" max="9994" width="12.140625" style="114" customWidth="1"/>
    <col min="9995" max="9995" width="12.7109375" style="114" customWidth="1"/>
    <col min="9996" max="9998" width="12.140625" style="114" customWidth="1"/>
    <col min="9999" max="9999" width="12.7109375" style="114" bestFit="1" customWidth="1"/>
    <col min="10000" max="10000" width="12" style="114" bestFit="1" customWidth="1"/>
    <col min="10001" max="10001" width="11.7109375" style="114" bestFit="1" customWidth="1"/>
    <col min="10002" max="10240" width="8.85546875" style="114"/>
    <col min="10241" max="10241" width="7.28515625" style="114" customWidth="1"/>
    <col min="10242" max="10242" width="72.140625" style="114" bestFit="1" customWidth="1"/>
    <col min="10243" max="10243" width="14.85546875" style="114" customWidth="1"/>
    <col min="10244" max="10250" width="12.140625" style="114" customWidth="1"/>
    <col min="10251" max="10251" width="12.7109375" style="114" customWidth="1"/>
    <col min="10252" max="10254" width="12.140625" style="114" customWidth="1"/>
    <col min="10255" max="10255" width="12.7109375" style="114" bestFit="1" customWidth="1"/>
    <col min="10256" max="10256" width="12" style="114" bestFit="1" customWidth="1"/>
    <col min="10257" max="10257" width="11.7109375" style="114" bestFit="1" customWidth="1"/>
    <col min="10258" max="10496" width="8.85546875" style="114"/>
    <col min="10497" max="10497" width="7.28515625" style="114" customWidth="1"/>
    <col min="10498" max="10498" width="72.140625" style="114" bestFit="1" customWidth="1"/>
    <col min="10499" max="10499" width="14.85546875" style="114" customWidth="1"/>
    <col min="10500" max="10506" width="12.140625" style="114" customWidth="1"/>
    <col min="10507" max="10507" width="12.7109375" style="114" customWidth="1"/>
    <col min="10508" max="10510" width="12.140625" style="114" customWidth="1"/>
    <col min="10511" max="10511" width="12.7109375" style="114" bestFit="1" customWidth="1"/>
    <col min="10512" max="10512" width="12" style="114" bestFit="1" customWidth="1"/>
    <col min="10513" max="10513" width="11.7109375" style="114" bestFit="1" customWidth="1"/>
    <col min="10514" max="10752" width="8.85546875" style="114"/>
    <col min="10753" max="10753" width="7.28515625" style="114" customWidth="1"/>
    <col min="10754" max="10754" width="72.140625" style="114" bestFit="1" customWidth="1"/>
    <col min="10755" max="10755" width="14.85546875" style="114" customWidth="1"/>
    <col min="10756" max="10762" width="12.140625" style="114" customWidth="1"/>
    <col min="10763" max="10763" width="12.7109375" style="114" customWidth="1"/>
    <col min="10764" max="10766" width="12.140625" style="114" customWidth="1"/>
    <col min="10767" max="10767" width="12.7109375" style="114" bestFit="1" customWidth="1"/>
    <col min="10768" max="10768" width="12" style="114" bestFit="1" customWidth="1"/>
    <col min="10769" max="10769" width="11.7109375" style="114" bestFit="1" customWidth="1"/>
    <col min="10770" max="11008" width="8.85546875" style="114"/>
    <col min="11009" max="11009" width="7.28515625" style="114" customWidth="1"/>
    <col min="11010" max="11010" width="72.140625" style="114" bestFit="1" customWidth="1"/>
    <col min="11011" max="11011" width="14.85546875" style="114" customWidth="1"/>
    <col min="11012" max="11018" width="12.140625" style="114" customWidth="1"/>
    <col min="11019" max="11019" width="12.7109375" style="114" customWidth="1"/>
    <col min="11020" max="11022" width="12.140625" style="114" customWidth="1"/>
    <col min="11023" max="11023" width="12.7109375" style="114" bestFit="1" customWidth="1"/>
    <col min="11024" max="11024" width="12" style="114" bestFit="1" customWidth="1"/>
    <col min="11025" max="11025" width="11.7109375" style="114" bestFit="1" customWidth="1"/>
    <col min="11026" max="11264" width="8.85546875" style="114"/>
    <col min="11265" max="11265" width="7.28515625" style="114" customWidth="1"/>
    <col min="11266" max="11266" width="72.140625" style="114" bestFit="1" customWidth="1"/>
    <col min="11267" max="11267" width="14.85546875" style="114" customWidth="1"/>
    <col min="11268" max="11274" width="12.140625" style="114" customWidth="1"/>
    <col min="11275" max="11275" width="12.7109375" style="114" customWidth="1"/>
    <col min="11276" max="11278" width="12.140625" style="114" customWidth="1"/>
    <col min="11279" max="11279" width="12.7109375" style="114" bestFit="1" customWidth="1"/>
    <col min="11280" max="11280" width="12" style="114" bestFit="1" customWidth="1"/>
    <col min="11281" max="11281" width="11.7109375" style="114" bestFit="1" customWidth="1"/>
    <col min="11282" max="11520" width="8.85546875" style="114"/>
    <col min="11521" max="11521" width="7.28515625" style="114" customWidth="1"/>
    <col min="11522" max="11522" width="72.140625" style="114" bestFit="1" customWidth="1"/>
    <col min="11523" max="11523" width="14.85546875" style="114" customWidth="1"/>
    <col min="11524" max="11530" width="12.140625" style="114" customWidth="1"/>
    <col min="11531" max="11531" width="12.7109375" style="114" customWidth="1"/>
    <col min="11532" max="11534" width="12.140625" style="114" customWidth="1"/>
    <col min="11535" max="11535" width="12.7109375" style="114" bestFit="1" customWidth="1"/>
    <col min="11536" max="11536" width="12" style="114" bestFit="1" customWidth="1"/>
    <col min="11537" max="11537" width="11.7109375" style="114" bestFit="1" customWidth="1"/>
    <col min="11538" max="11776" width="8.85546875" style="114"/>
    <col min="11777" max="11777" width="7.28515625" style="114" customWidth="1"/>
    <col min="11778" max="11778" width="72.140625" style="114" bestFit="1" customWidth="1"/>
    <col min="11779" max="11779" width="14.85546875" style="114" customWidth="1"/>
    <col min="11780" max="11786" width="12.140625" style="114" customWidth="1"/>
    <col min="11787" max="11787" width="12.7109375" style="114" customWidth="1"/>
    <col min="11788" max="11790" width="12.140625" style="114" customWidth="1"/>
    <col min="11791" max="11791" width="12.7109375" style="114" bestFit="1" customWidth="1"/>
    <col min="11792" max="11792" width="12" style="114" bestFit="1" customWidth="1"/>
    <col min="11793" max="11793" width="11.7109375" style="114" bestFit="1" customWidth="1"/>
    <col min="11794" max="12032" width="8.85546875" style="114"/>
    <col min="12033" max="12033" width="7.28515625" style="114" customWidth="1"/>
    <col min="12034" max="12034" width="72.140625" style="114" bestFit="1" customWidth="1"/>
    <col min="12035" max="12035" width="14.85546875" style="114" customWidth="1"/>
    <col min="12036" max="12042" width="12.140625" style="114" customWidth="1"/>
    <col min="12043" max="12043" width="12.7109375" style="114" customWidth="1"/>
    <col min="12044" max="12046" width="12.140625" style="114" customWidth="1"/>
    <col min="12047" max="12047" width="12.7109375" style="114" bestFit="1" customWidth="1"/>
    <col min="12048" max="12048" width="12" style="114" bestFit="1" customWidth="1"/>
    <col min="12049" max="12049" width="11.7109375" style="114" bestFit="1" customWidth="1"/>
    <col min="12050" max="12288" width="8.85546875" style="114"/>
    <col min="12289" max="12289" width="7.28515625" style="114" customWidth="1"/>
    <col min="12290" max="12290" width="72.140625" style="114" bestFit="1" customWidth="1"/>
    <col min="12291" max="12291" width="14.85546875" style="114" customWidth="1"/>
    <col min="12292" max="12298" width="12.140625" style="114" customWidth="1"/>
    <col min="12299" max="12299" width="12.7109375" style="114" customWidth="1"/>
    <col min="12300" max="12302" width="12.140625" style="114" customWidth="1"/>
    <col min="12303" max="12303" width="12.7109375" style="114" bestFit="1" customWidth="1"/>
    <col min="12304" max="12304" width="12" style="114" bestFit="1" customWidth="1"/>
    <col min="12305" max="12305" width="11.7109375" style="114" bestFit="1" customWidth="1"/>
    <col min="12306" max="12544" width="8.85546875" style="114"/>
    <col min="12545" max="12545" width="7.28515625" style="114" customWidth="1"/>
    <col min="12546" max="12546" width="72.140625" style="114" bestFit="1" customWidth="1"/>
    <col min="12547" max="12547" width="14.85546875" style="114" customWidth="1"/>
    <col min="12548" max="12554" width="12.140625" style="114" customWidth="1"/>
    <col min="12555" max="12555" width="12.7109375" style="114" customWidth="1"/>
    <col min="12556" max="12558" width="12.140625" style="114" customWidth="1"/>
    <col min="12559" max="12559" width="12.7109375" style="114" bestFit="1" customWidth="1"/>
    <col min="12560" max="12560" width="12" style="114" bestFit="1" customWidth="1"/>
    <col min="12561" max="12561" width="11.7109375" style="114" bestFit="1" customWidth="1"/>
    <col min="12562" max="12800" width="8.85546875" style="114"/>
    <col min="12801" max="12801" width="7.28515625" style="114" customWidth="1"/>
    <col min="12802" max="12802" width="72.140625" style="114" bestFit="1" customWidth="1"/>
    <col min="12803" max="12803" width="14.85546875" style="114" customWidth="1"/>
    <col min="12804" max="12810" width="12.140625" style="114" customWidth="1"/>
    <col min="12811" max="12811" width="12.7109375" style="114" customWidth="1"/>
    <col min="12812" max="12814" width="12.140625" style="114" customWidth="1"/>
    <col min="12815" max="12815" width="12.7109375" style="114" bestFit="1" customWidth="1"/>
    <col min="12816" max="12816" width="12" style="114" bestFit="1" customWidth="1"/>
    <col min="12817" max="12817" width="11.7109375" style="114" bestFit="1" customWidth="1"/>
    <col min="12818" max="13056" width="8.85546875" style="114"/>
    <col min="13057" max="13057" width="7.28515625" style="114" customWidth="1"/>
    <col min="13058" max="13058" width="72.140625" style="114" bestFit="1" customWidth="1"/>
    <col min="13059" max="13059" width="14.85546875" style="114" customWidth="1"/>
    <col min="13060" max="13066" width="12.140625" style="114" customWidth="1"/>
    <col min="13067" max="13067" width="12.7109375" style="114" customWidth="1"/>
    <col min="13068" max="13070" width="12.140625" style="114" customWidth="1"/>
    <col min="13071" max="13071" width="12.7109375" style="114" bestFit="1" customWidth="1"/>
    <col min="13072" max="13072" width="12" style="114" bestFit="1" customWidth="1"/>
    <col min="13073" max="13073" width="11.7109375" style="114" bestFit="1" customWidth="1"/>
    <col min="13074" max="13312" width="8.85546875" style="114"/>
    <col min="13313" max="13313" width="7.28515625" style="114" customWidth="1"/>
    <col min="13314" max="13314" width="72.140625" style="114" bestFit="1" customWidth="1"/>
    <col min="13315" max="13315" width="14.85546875" style="114" customWidth="1"/>
    <col min="13316" max="13322" width="12.140625" style="114" customWidth="1"/>
    <col min="13323" max="13323" width="12.7109375" style="114" customWidth="1"/>
    <col min="13324" max="13326" width="12.140625" style="114" customWidth="1"/>
    <col min="13327" max="13327" width="12.7109375" style="114" bestFit="1" customWidth="1"/>
    <col min="13328" max="13328" width="12" style="114" bestFit="1" customWidth="1"/>
    <col min="13329" max="13329" width="11.7109375" style="114" bestFit="1" customWidth="1"/>
    <col min="13330" max="13568" width="8.85546875" style="114"/>
    <col min="13569" max="13569" width="7.28515625" style="114" customWidth="1"/>
    <col min="13570" max="13570" width="72.140625" style="114" bestFit="1" customWidth="1"/>
    <col min="13571" max="13571" width="14.85546875" style="114" customWidth="1"/>
    <col min="13572" max="13578" width="12.140625" style="114" customWidth="1"/>
    <col min="13579" max="13579" width="12.7109375" style="114" customWidth="1"/>
    <col min="13580" max="13582" width="12.140625" style="114" customWidth="1"/>
    <col min="13583" max="13583" width="12.7109375" style="114" bestFit="1" customWidth="1"/>
    <col min="13584" max="13584" width="12" style="114" bestFit="1" customWidth="1"/>
    <col min="13585" max="13585" width="11.7109375" style="114" bestFit="1" customWidth="1"/>
    <col min="13586" max="13824" width="8.85546875" style="114"/>
    <col min="13825" max="13825" width="7.28515625" style="114" customWidth="1"/>
    <col min="13826" max="13826" width="72.140625" style="114" bestFit="1" customWidth="1"/>
    <col min="13827" max="13827" width="14.85546875" style="114" customWidth="1"/>
    <col min="13828" max="13834" width="12.140625" style="114" customWidth="1"/>
    <col min="13835" max="13835" width="12.7109375" style="114" customWidth="1"/>
    <col min="13836" max="13838" width="12.140625" style="114" customWidth="1"/>
    <col min="13839" max="13839" width="12.7109375" style="114" bestFit="1" customWidth="1"/>
    <col min="13840" max="13840" width="12" style="114" bestFit="1" customWidth="1"/>
    <col min="13841" max="13841" width="11.7109375" style="114" bestFit="1" customWidth="1"/>
    <col min="13842" max="14080" width="8.85546875" style="114"/>
    <col min="14081" max="14081" width="7.28515625" style="114" customWidth="1"/>
    <col min="14082" max="14082" width="72.140625" style="114" bestFit="1" customWidth="1"/>
    <col min="14083" max="14083" width="14.85546875" style="114" customWidth="1"/>
    <col min="14084" max="14090" width="12.140625" style="114" customWidth="1"/>
    <col min="14091" max="14091" width="12.7109375" style="114" customWidth="1"/>
    <col min="14092" max="14094" width="12.140625" style="114" customWidth="1"/>
    <col min="14095" max="14095" width="12.7109375" style="114" bestFit="1" customWidth="1"/>
    <col min="14096" max="14096" width="12" style="114" bestFit="1" customWidth="1"/>
    <col min="14097" max="14097" width="11.7109375" style="114" bestFit="1" customWidth="1"/>
    <col min="14098" max="14336" width="8.85546875" style="114"/>
    <col min="14337" max="14337" width="7.28515625" style="114" customWidth="1"/>
    <col min="14338" max="14338" width="72.140625" style="114" bestFit="1" customWidth="1"/>
    <col min="14339" max="14339" width="14.85546875" style="114" customWidth="1"/>
    <col min="14340" max="14346" width="12.140625" style="114" customWidth="1"/>
    <col min="14347" max="14347" width="12.7109375" style="114" customWidth="1"/>
    <col min="14348" max="14350" width="12.140625" style="114" customWidth="1"/>
    <col min="14351" max="14351" width="12.7109375" style="114" bestFit="1" customWidth="1"/>
    <col min="14352" max="14352" width="12" style="114" bestFit="1" customWidth="1"/>
    <col min="14353" max="14353" width="11.7109375" style="114" bestFit="1" customWidth="1"/>
    <col min="14354" max="14592" width="8.85546875" style="114"/>
    <col min="14593" max="14593" width="7.28515625" style="114" customWidth="1"/>
    <col min="14594" max="14594" width="72.140625" style="114" bestFit="1" customWidth="1"/>
    <col min="14595" max="14595" width="14.85546875" style="114" customWidth="1"/>
    <col min="14596" max="14602" width="12.140625" style="114" customWidth="1"/>
    <col min="14603" max="14603" width="12.7109375" style="114" customWidth="1"/>
    <col min="14604" max="14606" width="12.140625" style="114" customWidth="1"/>
    <col min="14607" max="14607" width="12.7109375" style="114" bestFit="1" customWidth="1"/>
    <col min="14608" max="14608" width="12" style="114" bestFit="1" customWidth="1"/>
    <col min="14609" max="14609" width="11.7109375" style="114" bestFit="1" customWidth="1"/>
    <col min="14610" max="14848" width="8.85546875" style="114"/>
    <col min="14849" max="14849" width="7.28515625" style="114" customWidth="1"/>
    <col min="14850" max="14850" width="72.140625" style="114" bestFit="1" customWidth="1"/>
    <col min="14851" max="14851" width="14.85546875" style="114" customWidth="1"/>
    <col min="14852" max="14858" width="12.140625" style="114" customWidth="1"/>
    <col min="14859" max="14859" width="12.7109375" style="114" customWidth="1"/>
    <col min="14860" max="14862" width="12.140625" style="114" customWidth="1"/>
    <col min="14863" max="14863" width="12.7109375" style="114" bestFit="1" customWidth="1"/>
    <col min="14864" max="14864" width="12" style="114" bestFit="1" customWidth="1"/>
    <col min="14865" max="14865" width="11.7109375" style="114" bestFit="1" customWidth="1"/>
    <col min="14866" max="15104" width="8.85546875" style="114"/>
    <col min="15105" max="15105" width="7.28515625" style="114" customWidth="1"/>
    <col min="15106" max="15106" width="72.140625" style="114" bestFit="1" customWidth="1"/>
    <col min="15107" max="15107" width="14.85546875" style="114" customWidth="1"/>
    <col min="15108" max="15114" width="12.140625" style="114" customWidth="1"/>
    <col min="15115" max="15115" width="12.7109375" style="114" customWidth="1"/>
    <col min="15116" max="15118" width="12.140625" style="114" customWidth="1"/>
    <col min="15119" max="15119" width="12.7109375" style="114" bestFit="1" customWidth="1"/>
    <col min="15120" max="15120" width="12" style="114" bestFit="1" customWidth="1"/>
    <col min="15121" max="15121" width="11.7109375" style="114" bestFit="1" customWidth="1"/>
    <col min="15122" max="15360" width="8.85546875" style="114"/>
    <col min="15361" max="15361" width="7.28515625" style="114" customWidth="1"/>
    <col min="15362" max="15362" width="72.140625" style="114" bestFit="1" customWidth="1"/>
    <col min="15363" max="15363" width="14.85546875" style="114" customWidth="1"/>
    <col min="15364" max="15370" width="12.140625" style="114" customWidth="1"/>
    <col min="15371" max="15371" width="12.7109375" style="114" customWidth="1"/>
    <col min="15372" max="15374" width="12.140625" style="114" customWidth="1"/>
    <col min="15375" max="15375" width="12.7109375" style="114" bestFit="1" customWidth="1"/>
    <col min="15376" max="15376" width="12" style="114" bestFit="1" customWidth="1"/>
    <col min="15377" max="15377" width="11.7109375" style="114" bestFit="1" customWidth="1"/>
    <col min="15378" max="15616" width="8.85546875" style="114"/>
    <col min="15617" max="15617" width="7.28515625" style="114" customWidth="1"/>
    <col min="15618" max="15618" width="72.140625" style="114" bestFit="1" customWidth="1"/>
    <col min="15619" max="15619" width="14.85546875" style="114" customWidth="1"/>
    <col min="15620" max="15626" width="12.140625" style="114" customWidth="1"/>
    <col min="15627" max="15627" width="12.7109375" style="114" customWidth="1"/>
    <col min="15628" max="15630" width="12.140625" style="114" customWidth="1"/>
    <col min="15631" max="15631" width="12.7109375" style="114" bestFit="1" customWidth="1"/>
    <col min="15632" max="15632" width="12" style="114" bestFit="1" customWidth="1"/>
    <col min="15633" max="15633" width="11.7109375" style="114" bestFit="1" customWidth="1"/>
    <col min="15634" max="15872" width="8.85546875" style="114"/>
    <col min="15873" max="15873" width="7.28515625" style="114" customWidth="1"/>
    <col min="15874" max="15874" width="72.140625" style="114" bestFit="1" customWidth="1"/>
    <col min="15875" max="15875" width="14.85546875" style="114" customWidth="1"/>
    <col min="15876" max="15882" width="12.140625" style="114" customWidth="1"/>
    <col min="15883" max="15883" width="12.7109375" style="114" customWidth="1"/>
    <col min="15884" max="15886" width="12.140625" style="114" customWidth="1"/>
    <col min="15887" max="15887" width="12.7109375" style="114" bestFit="1" customWidth="1"/>
    <col min="15888" max="15888" width="12" style="114" bestFit="1" customWidth="1"/>
    <col min="15889" max="15889" width="11.7109375" style="114" bestFit="1" customWidth="1"/>
    <col min="15890" max="16128" width="8.85546875" style="114"/>
    <col min="16129" max="16129" width="7.28515625" style="114" customWidth="1"/>
    <col min="16130" max="16130" width="72.140625" style="114" bestFit="1" customWidth="1"/>
    <col min="16131" max="16131" width="14.85546875" style="114" customWidth="1"/>
    <col min="16132" max="16138" width="12.140625" style="114" customWidth="1"/>
    <col min="16139" max="16139" width="12.7109375" style="114" customWidth="1"/>
    <col min="16140" max="16142" width="12.140625" style="114" customWidth="1"/>
    <col min="16143" max="16143" width="12.7109375" style="114" bestFit="1" customWidth="1"/>
    <col min="16144" max="16144" width="12" style="114" bestFit="1" customWidth="1"/>
    <col min="16145" max="16145" width="11.7109375" style="114" bestFit="1" customWidth="1"/>
    <col min="16146" max="16384" width="8.85546875" style="114"/>
  </cols>
  <sheetData>
    <row r="1" spans="1:15" ht="21" x14ac:dyDescent="0.2">
      <c r="A1" s="856" t="s">
        <v>1056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252"/>
      <c r="O1" s="252"/>
    </row>
    <row r="2" spans="1:15" ht="18.75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ht="18.75" x14ac:dyDescent="0.2">
      <c r="A3" s="850" t="s">
        <v>691</v>
      </c>
      <c r="B3" s="850"/>
      <c r="C3" s="850"/>
      <c r="D3" s="850"/>
      <c r="E3" s="253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x14ac:dyDescent="0.2">
      <c r="A4" s="840" t="s">
        <v>70</v>
      </c>
      <c r="B4" s="841" t="s">
        <v>692</v>
      </c>
      <c r="C4" s="841" t="s">
        <v>693</v>
      </c>
      <c r="D4" s="857" t="s">
        <v>694</v>
      </c>
      <c r="E4" s="857"/>
      <c r="F4" s="857"/>
      <c r="G4" s="857"/>
      <c r="H4" s="857"/>
      <c r="I4" s="857"/>
      <c r="J4" s="857"/>
      <c r="K4" s="857"/>
      <c r="L4" s="857"/>
      <c r="M4" s="857"/>
      <c r="N4" s="255"/>
      <c r="O4" s="255"/>
    </row>
    <row r="5" spans="1:15" ht="15.75" x14ac:dyDescent="0.25">
      <c r="A5" s="840"/>
      <c r="B5" s="841"/>
      <c r="C5" s="841"/>
      <c r="D5" s="841" t="s">
        <v>1060</v>
      </c>
      <c r="E5" s="846"/>
      <c r="F5" s="843" t="s">
        <v>591</v>
      </c>
      <c r="G5" s="841"/>
      <c r="H5" s="841" t="s">
        <v>592</v>
      </c>
      <c r="I5" s="841"/>
      <c r="J5" s="841" t="s">
        <v>593</v>
      </c>
      <c r="K5" s="841"/>
      <c r="L5" s="841" t="s">
        <v>594</v>
      </c>
      <c r="M5" s="841"/>
      <c r="N5" s="256"/>
      <c r="O5" s="256"/>
    </row>
    <row r="6" spans="1:15" ht="18.75" x14ac:dyDescent="0.25">
      <c r="A6" s="840"/>
      <c r="B6" s="841"/>
      <c r="C6" s="841"/>
      <c r="D6" s="257" t="s">
        <v>695</v>
      </c>
      <c r="E6" s="258" t="s">
        <v>696</v>
      </c>
      <c r="F6" s="259" t="s">
        <v>695</v>
      </c>
      <c r="G6" s="260" t="s">
        <v>696</v>
      </c>
      <c r="H6" s="260" t="s">
        <v>695</v>
      </c>
      <c r="I6" s="260" t="s">
        <v>696</v>
      </c>
      <c r="J6" s="260" t="s">
        <v>695</v>
      </c>
      <c r="K6" s="260" t="s">
        <v>696</v>
      </c>
      <c r="L6" s="260" t="s">
        <v>695</v>
      </c>
      <c r="M6" s="260" t="s">
        <v>696</v>
      </c>
      <c r="N6" s="256"/>
      <c r="O6" s="256"/>
    </row>
    <row r="7" spans="1:15" ht="65.25" customHeight="1" x14ac:dyDescent="0.25">
      <c r="A7" s="261" t="s">
        <v>3</v>
      </c>
      <c r="B7" s="262" t="s">
        <v>697</v>
      </c>
      <c r="C7" s="263" t="s">
        <v>698</v>
      </c>
      <c r="D7" s="264"/>
      <c r="E7" s="265">
        <v>11550</v>
      </c>
      <c r="F7" s="266"/>
      <c r="G7" s="264">
        <v>11550</v>
      </c>
      <c r="H7" s="267"/>
      <c r="I7" s="264">
        <v>11550</v>
      </c>
      <c r="J7" s="267"/>
      <c r="K7" s="264">
        <v>11550</v>
      </c>
      <c r="L7" s="267"/>
      <c r="M7" s="264">
        <v>11550</v>
      </c>
      <c r="N7" s="268"/>
      <c r="O7" s="268"/>
    </row>
    <row r="8" spans="1:15" ht="56.25" x14ac:dyDescent="0.25">
      <c r="A8" s="261" t="s">
        <v>4</v>
      </c>
      <c r="B8" s="262" t="s">
        <v>699</v>
      </c>
      <c r="C8" s="263" t="s">
        <v>698</v>
      </c>
      <c r="D8" s="264"/>
      <c r="E8" s="265">
        <v>7656</v>
      </c>
      <c r="F8" s="266"/>
      <c r="G8" s="264">
        <v>7656</v>
      </c>
      <c r="H8" s="267"/>
      <c r="I8" s="264">
        <v>7656</v>
      </c>
      <c r="J8" s="267"/>
      <c r="K8" s="264">
        <v>7656</v>
      </c>
      <c r="L8" s="267"/>
      <c r="M8" s="264">
        <v>7656</v>
      </c>
      <c r="N8" s="268"/>
      <c r="O8" s="268"/>
    </row>
    <row r="9" spans="1:15" ht="18.75" x14ac:dyDescent="0.25">
      <c r="A9" s="261" t="s">
        <v>5</v>
      </c>
      <c r="B9" s="269" t="s">
        <v>700</v>
      </c>
      <c r="C9" s="263" t="s">
        <v>698</v>
      </c>
      <c r="D9" s="264"/>
      <c r="E9" s="265">
        <v>2034</v>
      </c>
      <c r="F9" s="266"/>
      <c r="G9" s="264">
        <v>2215</v>
      </c>
      <c r="H9" s="267"/>
      <c r="I9" s="264">
        <v>2284</v>
      </c>
      <c r="J9" s="267"/>
      <c r="K9" s="264">
        <v>2284</v>
      </c>
      <c r="L9" s="267"/>
      <c r="M9" s="264">
        <v>2284</v>
      </c>
      <c r="N9" s="270"/>
      <c r="O9" s="270"/>
    </row>
    <row r="10" spans="1:15" ht="18.75" x14ac:dyDescent="0.25">
      <c r="A10" s="261" t="s">
        <v>6</v>
      </c>
      <c r="B10" s="269" t="s">
        <v>701</v>
      </c>
      <c r="C10" s="263" t="s">
        <v>698</v>
      </c>
      <c r="D10" s="264"/>
      <c r="E10" s="265">
        <v>9842</v>
      </c>
      <c r="F10" s="266"/>
      <c r="G10" s="264">
        <v>11811</v>
      </c>
      <c r="H10" s="267"/>
      <c r="I10" s="264">
        <v>12795</v>
      </c>
      <c r="J10" s="267"/>
      <c r="K10" s="264">
        <v>12795</v>
      </c>
      <c r="L10" s="267"/>
      <c r="M10" s="264">
        <v>12795</v>
      </c>
      <c r="N10" s="270"/>
      <c r="O10" s="270"/>
    </row>
    <row r="11" spans="1:15" ht="37.5" x14ac:dyDescent="0.25">
      <c r="A11" s="261" t="s">
        <v>7</v>
      </c>
      <c r="B11" s="262" t="s">
        <v>702</v>
      </c>
      <c r="C11" s="263" t="s">
        <v>698</v>
      </c>
      <c r="D11" s="264"/>
      <c r="E11" s="265">
        <v>1411</v>
      </c>
      <c r="F11" s="266"/>
      <c r="G11" s="264">
        <v>1729</v>
      </c>
      <c r="H11" s="267"/>
      <c r="I11" s="264">
        <v>1729</v>
      </c>
      <c r="J11" s="267"/>
      <c r="K11" s="264">
        <v>1729</v>
      </c>
      <c r="L11" s="267"/>
      <c r="M11" s="264">
        <v>1729</v>
      </c>
      <c r="N11" s="270"/>
      <c r="O11" s="270"/>
    </row>
    <row r="12" spans="1:15" ht="18.75" x14ac:dyDescent="0.25">
      <c r="A12" s="261" t="s">
        <v>8</v>
      </c>
      <c r="B12" s="269" t="s">
        <v>703</v>
      </c>
      <c r="C12" s="263" t="s">
        <v>698</v>
      </c>
      <c r="D12" s="264"/>
      <c r="E12" s="265">
        <v>3700</v>
      </c>
      <c r="F12" s="266"/>
      <c r="G12" s="264">
        <v>3100</v>
      </c>
      <c r="H12" s="267"/>
      <c r="I12" s="264">
        <v>3100</v>
      </c>
      <c r="J12" s="267"/>
      <c r="K12" s="264">
        <v>3100</v>
      </c>
      <c r="L12" s="267"/>
      <c r="M12" s="264">
        <v>3100</v>
      </c>
      <c r="N12" s="270"/>
      <c r="O12" s="270"/>
    </row>
    <row r="13" spans="1:15" ht="18.75" x14ac:dyDescent="0.25">
      <c r="A13" s="261" t="s">
        <v>9</v>
      </c>
      <c r="B13" s="269" t="s">
        <v>704</v>
      </c>
      <c r="C13" s="263" t="s">
        <v>698</v>
      </c>
      <c r="D13" s="264"/>
      <c r="E13" s="265">
        <v>1372</v>
      </c>
      <c r="F13" s="266"/>
      <c r="G13" s="264">
        <v>1372</v>
      </c>
      <c r="H13" s="267"/>
      <c r="I13" s="264">
        <v>1372</v>
      </c>
      <c r="J13" s="267"/>
      <c r="K13" s="264">
        <v>1372</v>
      </c>
      <c r="L13" s="267"/>
      <c r="M13" s="264">
        <v>1372</v>
      </c>
      <c r="N13" s="270"/>
      <c r="O13" s="270"/>
    </row>
    <row r="14" spans="1:15" ht="18.75" x14ac:dyDescent="0.25">
      <c r="A14" s="261" t="s">
        <v>23</v>
      </c>
      <c r="B14" s="262" t="s">
        <v>705</v>
      </c>
      <c r="C14" s="263" t="s">
        <v>698</v>
      </c>
      <c r="D14" s="264"/>
      <c r="E14" s="265">
        <v>4898</v>
      </c>
      <c r="F14" s="266"/>
      <c r="G14" s="264">
        <v>3848</v>
      </c>
      <c r="H14" s="267"/>
      <c r="I14" s="264">
        <v>3900</v>
      </c>
      <c r="J14" s="267"/>
      <c r="K14" s="264">
        <v>4000</v>
      </c>
      <c r="L14" s="267"/>
      <c r="M14" s="264">
        <v>4100</v>
      </c>
      <c r="N14" s="271"/>
      <c r="O14" s="271"/>
    </row>
    <row r="15" spans="1:15" ht="18.75" x14ac:dyDescent="0.25">
      <c r="A15" s="261" t="s">
        <v>25</v>
      </c>
      <c r="B15" s="262" t="s">
        <v>706</v>
      </c>
      <c r="C15" s="263" t="s">
        <v>698</v>
      </c>
      <c r="D15" s="264"/>
      <c r="E15" s="265">
        <v>4146</v>
      </c>
      <c r="F15" s="266"/>
      <c r="G15" s="264">
        <v>4308</v>
      </c>
      <c r="H15" s="267"/>
      <c r="I15" s="264">
        <v>4308</v>
      </c>
      <c r="J15" s="267"/>
      <c r="K15" s="264">
        <v>4308</v>
      </c>
      <c r="L15" s="267"/>
      <c r="M15" s="264">
        <v>4308</v>
      </c>
      <c r="N15" s="271"/>
      <c r="O15" s="271"/>
    </row>
    <row r="16" spans="1:15" ht="37.5" x14ac:dyDescent="0.25">
      <c r="A16" s="261" t="s">
        <v>27</v>
      </c>
      <c r="B16" s="262" t="s">
        <v>707</v>
      </c>
      <c r="C16" s="263" t="s">
        <v>698</v>
      </c>
      <c r="D16" s="264"/>
      <c r="E16" s="265">
        <v>3991</v>
      </c>
      <c r="F16" s="266"/>
      <c r="G16" s="264">
        <v>3975</v>
      </c>
      <c r="H16" s="267"/>
      <c r="I16" s="264">
        <v>3975</v>
      </c>
      <c r="J16" s="267"/>
      <c r="K16" s="264">
        <v>3975</v>
      </c>
      <c r="L16" s="267"/>
      <c r="M16" s="264">
        <v>3975</v>
      </c>
      <c r="N16" s="271"/>
      <c r="O16" s="271"/>
    </row>
    <row r="17" spans="1:15" ht="37.5" x14ac:dyDescent="0.25">
      <c r="A17" s="261" t="s">
        <v>31</v>
      </c>
      <c r="B17" s="262" t="s">
        <v>1057</v>
      </c>
      <c r="C17" s="263" t="s">
        <v>698</v>
      </c>
      <c r="D17" s="264"/>
      <c r="E17" s="265">
        <v>165</v>
      </c>
      <c r="F17" s="266"/>
      <c r="G17" s="264">
        <v>165</v>
      </c>
      <c r="H17" s="267"/>
      <c r="I17" s="264">
        <v>165</v>
      </c>
      <c r="J17" s="267"/>
      <c r="K17" s="264">
        <v>165</v>
      </c>
      <c r="L17" s="267"/>
      <c r="M17" s="264">
        <v>165</v>
      </c>
      <c r="N17" s="271"/>
      <c r="O17" s="271"/>
    </row>
    <row r="18" spans="1:15" ht="18.75" x14ac:dyDescent="0.25">
      <c r="A18" s="261" t="s">
        <v>33</v>
      </c>
      <c r="B18" s="262" t="s">
        <v>708</v>
      </c>
      <c r="C18" s="263" t="s">
        <v>698</v>
      </c>
      <c r="D18" s="272"/>
      <c r="E18" s="273">
        <v>2012</v>
      </c>
      <c r="F18" s="274"/>
      <c r="G18" s="275">
        <v>2012</v>
      </c>
      <c r="H18" s="272"/>
      <c r="I18" s="275">
        <v>2012</v>
      </c>
      <c r="J18" s="272"/>
      <c r="K18" s="275">
        <v>2012</v>
      </c>
      <c r="L18" s="272"/>
      <c r="M18" s="275">
        <v>2012</v>
      </c>
      <c r="N18" s="271"/>
      <c r="O18" s="271"/>
    </row>
    <row r="19" spans="1:15" ht="15.75" x14ac:dyDescent="0.25">
      <c r="A19" s="852" t="s">
        <v>106</v>
      </c>
      <c r="B19" s="852"/>
      <c r="C19" s="276"/>
      <c r="D19" s="277">
        <f t="shared" ref="D19:M19" si="0">SUM(D7:D18)</f>
        <v>0</v>
      </c>
      <c r="E19" s="278">
        <f t="shared" si="0"/>
        <v>52777</v>
      </c>
      <c r="F19" s="279">
        <f t="shared" si="0"/>
        <v>0</v>
      </c>
      <c r="G19" s="277">
        <f t="shared" si="0"/>
        <v>53741</v>
      </c>
      <c r="H19" s="277">
        <f t="shared" si="0"/>
        <v>0</v>
      </c>
      <c r="I19" s="277">
        <f t="shared" si="0"/>
        <v>54846</v>
      </c>
      <c r="J19" s="277">
        <f t="shared" si="0"/>
        <v>0</v>
      </c>
      <c r="K19" s="277">
        <f t="shared" si="0"/>
        <v>54946</v>
      </c>
      <c r="L19" s="277">
        <f t="shared" si="0"/>
        <v>0</v>
      </c>
      <c r="M19" s="277">
        <f t="shared" si="0"/>
        <v>55046</v>
      </c>
      <c r="N19" s="280"/>
      <c r="O19" s="280"/>
    </row>
    <row r="20" spans="1:15" ht="18.75" x14ac:dyDescent="0.25">
      <c r="A20" s="850" t="s">
        <v>709</v>
      </c>
      <c r="B20" s="850"/>
      <c r="C20" s="850" t="s">
        <v>710</v>
      </c>
      <c r="D20" s="850"/>
      <c r="E20" s="270"/>
      <c r="F20" s="270"/>
      <c r="G20" s="270"/>
      <c r="H20" s="268"/>
      <c r="I20" s="268"/>
      <c r="J20" s="268"/>
      <c r="K20" s="268"/>
      <c r="L20" s="268"/>
      <c r="M20" s="268"/>
      <c r="N20" s="268"/>
      <c r="O20" s="268"/>
    </row>
    <row r="21" spans="1:15" x14ac:dyDescent="0.2">
      <c r="A21" s="840" t="s">
        <v>70</v>
      </c>
      <c r="B21" s="841" t="s">
        <v>692</v>
      </c>
      <c r="C21" s="841" t="s">
        <v>693</v>
      </c>
      <c r="D21" s="853" t="s">
        <v>694</v>
      </c>
      <c r="E21" s="854"/>
      <c r="F21" s="854"/>
      <c r="G21" s="854"/>
      <c r="H21" s="854"/>
      <c r="I21" s="854"/>
      <c r="J21" s="854"/>
      <c r="K21" s="854"/>
      <c r="L21" s="854"/>
      <c r="M21" s="855"/>
      <c r="N21" s="845" t="s">
        <v>1058</v>
      </c>
      <c r="O21" s="845"/>
    </row>
    <row r="22" spans="1:15" ht="15.75" x14ac:dyDescent="0.2">
      <c r="A22" s="840"/>
      <c r="B22" s="841"/>
      <c r="C22" s="841"/>
      <c r="D22" s="841" t="s">
        <v>1061</v>
      </c>
      <c r="E22" s="846"/>
      <c r="F22" s="843" t="s">
        <v>591</v>
      </c>
      <c r="G22" s="841"/>
      <c r="H22" s="841" t="s">
        <v>592</v>
      </c>
      <c r="I22" s="841"/>
      <c r="J22" s="841" t="s">
        <v>593</v>
      </c>
      <c r="K22" s="841"/>
      <c r="L22" s="841" t="s">
        <v>1059</v>
      </c>
      <c r="M22" s="841"/>
      <c r="N22" s="845"/>
      <c r="O22" s="845"/>
    </row>
    <row r="23" spans="1:15" ht="18.75" x14ac:dyDescent="0.2">
      <c r="A23" s="840"/>
      <c r="B23" s="841"/>
      <c r="C23" s="841"/>
      <c r="D23" s="257" t="s">
        <v>695</v>
      </c>
      <c r="E23" s="258" t="s">
        <v>696</v>
      </c>
      <c r="F23" s="259" t="s">
        <v>695</v>
      </c>
      <c r="G23" s="260" t="s">
        <v>696</v>
      </c>
      <c r="H23" s="260" t="s">
        <v>695</v>
      </c>
      <c r="I23" s="260" t="s">
        <v>696</v>
      </c>
      <c r="J23" s="260" t="s">
        <v>695</v>
      </c>
      <c r="K23" s="260" t="s">
        <v>696</v>
      </c>
      <c r="L23" s="260" t="s">
        <v>695</v>
      </c>
      <c r="M23" s="260" t="s">
        <v>696</v>
      </c>
      <c r="N23" s="260" t="s">
        <v>695</v>
      </c>
      <c r="O23" s="260" t="s">
        <v>696</v>
      </c>
    </row>
    <row r="24" spans="1:15" ht="31.5" x14ac:dyDescent="0.2">
      <c r="A24" s="263" t="s">
        <v>3</v>
      </c>
      <c r="B24" s="262" t="s">
        <v>711</v>
      </c>
      <c r="C24" s="263" t="s">
        <v>712</v>
      </c>
      <c r="D24" s="267"/>
      <c r="E24" s="282">
        <v>74930</v>
      </c>
      <c r="F24" s="283"/>
      <c r="G24" s="264">
        <v>74930</v>
      </c>
      <c r="H24" s="281"/>
      <c r="I24" s="267"/>
      <c r="J24" s="281"/>
      <c r="K24" s="281"/>
      <c r="L24" s="281"/>
      <c r="M24" s="281"/>
      <c r="N24" s="281">
        <f>SUM(D24+F24+H24+J24+L24)</f>
        <v>0</v>
      </c>
      <c r="O24" s="267">
        <f>SUM(G24+I24+K24+M24)</f>
        <v>74930</v>
      </c>
    </row>
    <row r="25" spans="1:15" ht="37.5" x14ac:dyDescent="0.2">
      <c r="A25" s="263" t="s">
        <v>4</v>
      </c>
      <c r="B25" s="262" t="s">
        <v>713</v>
      </c>
      <c r="C25" s="284" t="s">
        <v>590</v>
      </c>
      <c r="D25" s="267"/>
      <c r="E25" s="282">
        <v>1148</v>
      </c>
      <c r="F25" s="283"/>
      <c r="G25" s="264">
        <v>3720</v>
      </c>
      <c r="H25" s="267"/>
      <c r="I25" s="267"/>
      <c r="J25" s="267"/>
      <c r="K25" s="267"/>
      <c r="L25" s="267"/>
      <c r="M25" s="267"/>
      <c r="N25" s="281">
        <f t="shared" ref="N25:N34" si="1">SUM(D25+F25+H25+J25+L25)</f>
        <v>0</v>
      </c>
      <c r="O25" s="267">
        <f t="shared" ref="O25:O34" si="2">SUM(G25+I25+K25+M25)</f>
        <v>3720</v>
      </c>
    </row>
    <row r="26" spans="1:15" ht="18.75" x14ac:dyDescent="0.2">
      <c r="A26" s="263" t="s">
        <v>5</v>
      </c>
      <c r="B26" s="262" t="s">
        <v>714</v>
      </c>
      <c r="C26" s="284" t="s">
        <v>591</v>
      </c>
      <c r="D26" s="267"/>
      <c r="E26" s="282">
        <v>2391</v>
      </c>
      <c r="F26" s="283"/>
      <c r="G26" s="264">
        <v>3522</v>
      </c>
      <c r="H26" s="267"/>
      <c r="I26" s="267">
        <v>3582</v>
      </c>
      <c r="J26" s="267"/>
      <c r="K26" s="267"/>
      <c r="L26" s="267"/>
      <c r="M26" s="267"/>
      <c r="N26" s="281">
        <f t="shared" si="1"/>
        <v>0</v>
      </c>
      <c r="O26" s="267">
        <f t="shared" si="2"/>
        <v>7104</v>
      </c>
    </row>
    <row r="27" spans="1:15" ht="18.75" x14ac:dyDescent="0.2">
      <c r="A27" s="263" t="s">
        <v>6</v>
      </c>
      <c r="B27" s="262" t="s">
        <v>715</v>
      </c>
      <c r="C27" s="284" t="s">
        <v>591</v>
      </c>
      <c r="D27" s="267"/>
      <c r="E27" s="282">
        <v>4855</v>
      </c>
      <c r="F27" s="283"/>
      <c r="G27" s="264">
        <v>5174</v>
      </c>
      <c r="H27" s="267"/>
      <c r="I27" s="267">
        <v>5427</v>
      </c>
      <c r="J27" s="267"/>
      <c r="K27" s="267"/>
      <c r="L27" s="267"/>
      <c r="M27" s="267"/>
      <c r="N27" s="281">
        <f t="shared" si="1"/>
        <v>0</v>
      </c>
      <c r="O27" s="267">
        <f t="shared" si="2"/>
        <v>10601</v>
      </c>
    </row>
    <row r="28" spans="1:15" ht="37.5" x14ac:dyDescent="0.2">
      <c r="A28" s="263" t="s">
        <v>7</v>
      </c>
      <c r="B28" s="262" t="s">
        <v>716</v>
      </c>
      <c r="C28" s="284" t="s">
        <v>591</v>
      </c>
      <c r="D28" s="267"/>
      <c r="E28" s="282">
        <v>5369</v>
      </c>
      <c r="F28" s="283"/>
      <c r="G28" s="264">
        <v>5869</v>
      </c>
      <c r="H28" s="267"/>
      <c r="I28" s="267">
        <v>6157</v>
      </c>
      <c r="J28" s="267"/>
      <c r="K28" s="267"/>
      <c r="L28" s="267"/>
      <c r="M28" s="267"/>
      <c r="N28" s="281">
        <f t="shared" si="1"/>
        <v>0</v>
      </c>
      <c r="O28" s="267">
        <f t="shared" si="2"/>
        <v>12026</v>
      </c>
    </row>
    <row r="29" spans="1:15" ht="37.5" x14ac:dyDescent="0.2">
      <c r="A29" s="263" t="s">
        <v>8</v>
      </c>
      <c r="B29" s="262" t="s">
        <v>717</v>
      </c>
      <c r="C29" s="285">
        <v>43308</v>
      </c>
      <c r="D29" s="267"/>
      <c r="E29" s="282">
        <v>3148</v>
      </c>
      <c r="F29" s="283"/>
      <c r="G29" s="264">
        <v>3148</v>
      </c>
      <c r="H29" s="267"/>
      <c r="I29" s="267">
        <v>3148</v>
      </c>
      <c r="J29" s="267"/>
      <c r="K29" s="267">
        <v>1838</v>
      </c>
      <c r="L29" s="267"/>
      <c r="M29" s="267"/>
      <c r="N29" s="281">
        <f t="shared" si="1"/>
        <v>0</v>
      </c>
      <c r="O29" s="267">
        <f t="shared" si="2"/>
        <v>8134</v>
      </c>
    </row>
    <row r="30" spans="1:15" ht="56.25" x14ac:dyDescent="0.2">
      <c r="A30" s="263" t="s">
        <v>9</v>
      </c>
      <c r="B30" s="262" t="s">
        <v>718</v>
      </c>
      <c r="C30" s="285">
        <v>43465</v>
      </c>
      <c r="D30" s="267"/>
      <c r="E30" s="282">
        <v>12446</v>
      </c>
      <c r="F30" s="283"/>
      <c r="G30" s="264">
        <v>37338</v>
      </c>
      <c r="H30" s="267"/>
      <c r="I30" s="267">
        <v>37338</v>
      </c>
      <c r="J30" s="267"/>
      <c r="K30" s="267">
        <v>37338</v>
      </c>
      <c r="L30" s="267"/>
      <c r="M30" s="267">
        <v>37338</v>
      </c>
      <c r="N30" s="281">
        <f t="shared" si="1"/>
        <v>0</v>
      </c>
      <c r="O30" s="267">
        <f t="shared" si="2"/>
        <v>149352</v>
      </c>
    </row>
    <row r="31" spans="1:15" ht="37.5" x14ac:dyDescent="0.2">
      <c r="A31" s="263" t="s">
        <v>23</v>
      </c>
      <c r="B31" s="262" t="s">
        <v>719</v>
      </c>
      <c r="C31" s="285">
        <v>43251</v>
      </c>
      <c r="D31" s="267"/>
      <c r="E31" s="282">
        <v>35284</v>
      </c>
      <c r="F31" s="283"/>
      <c r="G31" s="264">
        <v>27996</v>
      </c>
      <c r="H31" s="267"/>
      <c r="I31" s="267">
        <v>27996</v>
      </c>
      <c r="J31" s="267"/>
      <c r="K31" s="267">
        <v>11665</v>
      </c>
      <c r="L31" s="267"/>
      <c r="M31" s="267"/>
      <c r="N31" s="281">
        <f t="shared" si="1"/>
        <v>0</v>
      </c>
      <c r="O31" s="267">
        <f t="shared" si="2"/>
        <v>67657</v>
      </c>
    </row>
    <row r="32" spans="1:15" ht="18.75" x14ac:dyDescent="0.2">
      <c r="A32" s="263" t="s">
        <v>25</v>
      </c>
      <c r="B32" s="262" t="s">
        <v>720</v>
      </c>
      <c r="C32" s="285">
        <v>43100</v>
      </c>
      <c r="D32" s="267"/>
      <c r="E32" s="282">
        <v>24150</v>
      </c>
      <c r="F32" s="283"/>
      <c r="G32" s="264">
        <v>24150</v>
      </c>
      <c r="H32" s="267"/>
      <c r="I32" s="267">
        <v>24150</v>
      </c>
      <c r="J32" s="267"/>
      <c r="K32" s="267"/>
      <c r="L32" s="267"/>
      <c r="M32" s="267"/>
      <c r="N32" s="281">
        <f t="shared" si="1"/>
        <v>0</v>
      </c>
      <c r="O32" s="267">
        <f t="shared" si="2"/>
        <v>48300</v>
      </c>
    </row>
    <row r="33" spans="1:17" ht="18.75" x14ac:dyDescent="0.2">
      <c r="A33" s="263" t="s">
        <v>27</v>
      </c>
      <c r="B33" s="262" t="s">
        <v>721</v>
      </c>
      <c r="C33" s="285">
        <v>43100</v>
      </c>
      <c r="D33" s="267"/>
      <c r="E33" s="282">
        <v>11684</v>
      </c>
      <c r="F33" s="283"/>
      <c r="G33" s="264">
        <v>11303</v>
      </c>
      <c r="H33" s="267"/>
      <c r="I33" s="267">
        <v>11303</v>
      </c>
      <c r="J33" s="267"/>
      <c r="K33" s="267"/>
      <c r="L33" s="267"/>
      <c r="M33" s="267"/>
      <c r="N33" s="281">
        <f t="shared" si="1"/>
        <v>0</v>
      </c>
      <c r="O33" s="267">
        <f t="shared" si="2"/>
        <v>22606</v>
      </c>
    </row>
    <row r="34" spans="1:17" ht="18.75" x14ac:dyDescent="0.2">
      <c r="A34" s="263" t="s">
        <v>31</v>
      </c>
      <c r="B34" s="262" t="s">
        <v>722</v>
      </c>
      <c r="C34" s="285">
        <v>42735</v>
      </c>
      <c r="D34" s="267"/>
      <c r="E34" s="282">
        <v>1200</v>
      </c>
      <c r="F34" s="283"/>
      <c r="G34" s="264">
        <v>1200</v>
      </c>
      <c r="H34" s="267"/>
      <c r="I34" s="267"/>
      <c r="J34" s="267"/>
      <c r="K34" s="267"/>
      <c r="L34" s="267"/>
      <c r="M34" s="267"/>
      <c r="N34" s="281">
        <f t="shared" si="1"/>
        <v>0</v>
      </c>
      <c r="O34" s="267">
        <f t="shared" si="2"/>
        <v>1200</v>
      </c>
    </row>
    <row r="35" spans="1:17" s="288" customFormat="1" ht="31.5" customHeight="1" x14ac:dyDescent="0.2">
      <c r="A35" s="848" t="s">
        <v>106</v>
      </c>
      <c r="B35" s="849"/>
      <c r="C35" s="374"/>
      <c r="D35" s="375">
        <f t="shared" ref="D35:O35" si="3">SUM(D24:D34)</f>
        <v>0</v>
      </c>
      <c r="E35" s="376">
        <f t="shared" si="3"/>
        <v>176605</v>
      </c>
      <c r="F35" s="375">
        <f t="shared" si="3"/>
        <v>0</v>
      </c>
      <c r="G35" s="375">
        <f t="shared" si="3"/>
        <v>198350</v>
      </c>
      <c r="H35" s="375">
        <f t="shared" si="3"/>
        <v>0</v>
      </c>
      <c r="I35" s="375">
        <f t="shared" si="3"/>
        <v>119101</v>
      </c>
      <c r="J35" s="375">
        <f t="shared" si="3"/>
        <v>0</v>
      </c>
      <c r="K35" s="375">
        <f t="shared" si="3"/>
        <v>50841</v>
      </c>
      <c r="L35" s="375">
        <f t="shared" si="3"/>
        <v>0</v>
      </c>
      <c r="M35" s="375">
        <f t="shared" si="3"/>
        <v>37338</v>
      </c>
      <c r="N35" s="375">
        <f t="shared" si="3"/>
        <v>0</v>
      </c>
      <c r="O35" s="375">
        <f t="shared" si="3"/>
        <v>405630</v>
      </c>
    </row>
    <row r="36" spans="1:17" s="288" customFormat="1" ht="31.5" customHeight="1" x14ac:dyDescent="0.2">
      <c r="A36" s="289"/>
      <c r="B36" s="289"/>
      <c r="C36" s="290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</row>
    <row r="37" spans="1:17" s="288" customFormat="1" ht="31.5" customHeight="1" x14ac:dyDescent="0.2">
      <c r="A37" s="253"/>
      <c r="B37" s="253"/>
      <c r="C37" s="377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</row>
    <row r="38" spans="1:17" ht="18.75" customHeight="1" x14ac:dyDescent="0.2">
      <c r="A38" s="850" t="s">
        <v>723</v>
      </c>
      <c r="B38" s="850"/>
      <c r="C38" s="292"/>
      <c r="D38" s="293"/>
      <c r="E38" s="293"/>
      <c r="F38" s="294"/>
      <c r="G38" s="294"/>
      <c r="H38" s="293"/>
      <c r="I38" s="293"/>
      <c r="J38" s="293"/>
      <c r="K38" s="293"/>
      <c r="L38" s="293"/>
      <c r="M38" s="293"/>
      <c r="N38" s="295"/>
      <c r="O38" s="293"/>
    </row>
    <row r="39" spans="1:17" x14ac:dyDescent="0.2">
      <c r="A39" s="840" t="s">
        <v>70</v>
      </c>
      <c r="B39" s="841" t="s">
        <v>692</v>
      </c>
      <c r="C39" s="851" t="s">
        <v>693</v>
      </c>
      <c r="D39" s="847" t="s">
        <v>694</v>
      </c>
      <c r="E39" s="847"/>
      <c r="F39" s="847"/>
      <c r="G39" s="847"/>
      <c r="H39" s="847"/>
      <c r="I39" s="847"/>
      <c r="J39" s="847"/>
      <c r="K39" s="847"/>
      <c r="L39" s="847"/>
      <c r="M39" s="847"/>
      <c r="N39" s="844" t="s">
        <v>1058</v>
      </c>
      <c r="O39" s="844"/>
    </row>
    <row r="40" spans="1:17" ht="15.75" x14ac:dyDescent="0.2">
      <c r="A40" s="840"/>
      <c r="B40" s="841"/>
      <c r="C40" s="841"/>
      <c r="D40" s="841" t="s">
        <v>1061</v>
      </c>
      <c r="E40" s="846"/>
      <c r="F40" s="843" t="s">
        <v>591</v>
      </c>
      <c r="G40" s="841"/>
      <c r="H40" s="841" t="s">
        <v>592</v>
      </c>
      <c r="I40" s="841"/>
      <c r="J40" s="841" t="s">
        <v>593</v>
      </c>
      <c r="K40" s="841"/>
      <c r="L40" s="841" t="s">
        <v>1059</v>
      </c>
      <c r="M40" s="841"/>
      <c r="N40" s="845"/>
      <c r="O40" s="845"/>
    </row>
    <row r="41" spans="1:17" ht="18.75" x14ac:dyDescent="0.2">
      <c r="A41" s="840"/>
      <c r="B41" s="841"/>
      <c r="C41" s="841"/>
      <c r="D41" s="257" t="s">
        <v>695</v>
      </c>
      <c r="E41" s="258" t="s">
        <v>696</v>
      </c>
      <c r="F41" s="259" t="s">
        <v>695</v>
      </c>
      <c r="G41" s="260" t="s">
        <v>696</v>
      </c>
      <c r="H41" s="260" t="s">
        <v>695</v>
      </c>
      <c r="I41" s="260" t="s">
        <v>696</v>
      </c>
      <c r="J41" s="260" t="s">
        <v>695</v>
      </c>
      <c r="K41" s="260" t="s">
        <v>696</v>
      </c>
      <c r="L41" s="260" t="s">
        <v>695</v>
      </c>
      <c r="M41" s="260" t="s">
        <v>696</v>
      </c>
      <c r="N41" s="260" t="s">
        <v>695</v>
      </c>
      <c r="O41" s="260" t="s">
        <v>696</v>
      </c>
    </row>
    <row r="42" spans="1:17" ht="18.75" customHeight="1" x14ac:dyDescent="0.2">
      <c r="A42" s="837" t="s">
        <v>724</v>
      </c>
      <c r="B42" s="838"/>
      <c r="C42" s="838"/>
      <c r="D42" s="838"/>
      <c r="E42" s="838"/>
      <c r="F42" s="838"/>
      <c r="G42" s="838"/>
      <c r="H42" s="838"/>
      <c r="I42" s="838"/>
      <c r="J42" s="838"/>
      <c r="K42" s="838"/>
      <c r="L42" s="838"/>
      <c r="M42" s="838"/>
      <c r="N42" s="838"/>
      <c r="O42" s="839"/>
    </row>
    <row r="43" spans="1:17" ht="37.5" x14ac:dyDescent="0.2">
      <c r="A43" s="263"/>
      <c r="B43" s="262" t="s">
        <v>725</v>
      </c>
      <c r="C43" s="284">
        <v>2038</v>
      </c>
      <c r="D43" s="267"/>
      <c r="E43" s="282"/>
      <c r="F43" s="283"/>
      <c r="G43" s="264"/>
      <c r="H43" s="267"/>
      <c r="I43" s="267"/>
      <c r="J43" s="267"/>
      <c r="K43" s="267">
        <v>10962</v>
      </c>
      <c r="L43" s="267"/>
      <c r="M43" s="267">
        <v>284322</v>
      </c>
      <c r="N43" s="281"/>
      <c r="O43" s="267">
        <f>SUM(G43+I43+K43+M43)</f>
        <v>295284</v>
      </c>
    </row>
    <row r="44" spans="1:17" ht="18.75" x14ac:dyDescent="0.2">
      <c r="A44" s="263"/>
      <c r="B44" s="262" t="s">
        <v>726</v>
      </c>
      <c r="C44" s="284">
        <v>2038</v>
      </c>
      <c r="D44" s="267"/>
      <c r="E44" s="282"/>
      <c r="F44" s="283"/>
      <c r="G44" s="264"/>
      <c r="H44" s="267"/>
      <c r="I44" s="267">
        <v>2436</v>
      </c>
      <c r="J44" s="267"/>
      <c r="K44" s="267">
        <v>9744</v>
      </c>
      <c r="L44" s="267"/>
      <c r="M44" s="267">
        <v>194872</v>
      </c>
      <c r="N44" s="281"/>
      <c r="O44" s="267">
        <f>SUM(G44+I44+K44+M44)</f>
        <v>207052</v>
      </c>
      <c r="Q44" s="296">
        <f>SUM(O44:O45)</f>
        <v>300001</v>
      </c>
    </row>
    <row r="45" spans="1:17" ht="37.5" x14ac:dyDescent="0.2">
      <c r="A45" s="263"/>
      <c r="B45" s="262" t="s">
        <v>727</v>
      </c>
      <c r="C45" s="284">
        <v>2038</v>
      </c>
      <c r="D45" s="267"/>
      <c r="E45" s="282"/>
      <c r="F45" s="283"/>
      <c r="G45" s="264"/>
      <c r="H45" s="267"/>
      <c r="I45" s="267">
        <v>1094</v>
      </c>
      <c r="J45" s="267"/>
      <c r="K45" s="267">
        <v>4376</v>
      </c>
      <c r="L45" s="267"/>
      <c r="M45" s="267">
        <v>87479</v>
      </c>
      <c r="N45" s="281"/>
      <c r="O45" s="267">
        <f>SUM(G45+I45+K45+M45)</f>
        <v>92949</v>
      </c>
      <c r="Q45" s="296">
        <f>SUM(O43:O45)</f>
        <v>595285</v>
      </c>
    </row>
    <row r="46" spans="1:17" ht="18" customHeight="1" x14ac:dyDescent="0.2">
      <c r="A46" s="837" t="s">
        <v>728</v>
      </c>
      <c r="B46" s="838"/>
      <c r="C46" s="838"/>
      <c r="D46" s="838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9"/>
    </row>
    <row r="47" spans="1:17" ht="18.75" x14ac:dyDescent="0.2">
      <c r="A47" s="263"/>
      <c r="B47" s="262" t="s">
        <v>729</v>
      </c>
      <c r="C47" s="284">
        <v>2038</v>
      </c>
      <c r="D47" s="267"/>
      <c r="E47" s="282">
        <f>(2785106+2705360+2706128+2662169)/1000</f>
        <v>10858.763000000001</v>
      </c>
      <c r="F47" s="283"/>
      <c r="G47" s="264">
        <v>14764</v>
      </c>
      <c r="H47" s="267"/>
      <c r="I47" s="267">
        <v>14764</v>
      </c>
      <c r="J47" s="267"/>
      <c r="K47" s="267">
        <v>14627</v>
      </c>
      <c r="L47" s="267"/>
      <c r="M47" s="267">
        <v>140052</v>
      </c>
      <c r="N47" s="281"/>
      <c r="O47" s="267">
        <f>SUM(G47+I47+K47+M47)</f>
        <v>184207</v>
      </c>
    </row>
    <row r="48" spans="1:17" ht="18.75" x14ac:dyDescent="0.2">
      <c r="A48" s="263"/>
      <c r="B48" s="262" t="s">
        <v>726</v>
      </c>
      <c r="C48" s="284">
        <v>2038</v>
      </c>
      <c r="D48" s="267"/>
      <c r="E48" s="282">
        <f>(2024957+1966976+1967534+1935574)/1000</f>
        <v>7895.0410000000002</v>
      </c>
      <c r="F48" s="283"/>
      <c r="G48" s="264">
        <v>10353</v>
      </c>
      <c r="H48" s="267"/>
      <c r="I48" s="267">
        <v>10353</v>
      </c>
      <c r="J48" s="267"/>
      <c r="K48" s="267">
        <v>10048</v>
      </c>
      <c r="L48" s="267"/>
      <c r="M48" s="267">
        <v>98654</v>
      </c>
      <c r="N48" s="281"/>
      <c r="O48" s="267">
        <f>SUM(G48+I48+K48+M48)</f>
        <v>129408</v>
      </c>
    </row>
    <row r="49" spans="1:26" ht="37.5" x14ac:dyDescent="0.2">
      <c r="A49" s="263"/>
      <c r="B49" s="262" t="s">
        <v>727</v>
      </c>
      <c r="C49" s="284">
        <v>2038</v>
      </c>
      <c r="D49" s="267"/>
      <c r="E49" s="282">
        <f>(909035+883007+883257+868910)/1000</f>
        <v>3544.2089999999998</v>
      </c>
      <c r="F49" s="283"/>
      <c r="G49" s="264">
        <v>4647</v>
      </c>
      <c r="H49" s="267"/>
      <c r="I49" s="267">
        <v>4647</v>
      </c>
      <c r="J49" s="267"/>
      <c r="K49" s="267">
        <v>4511</v>
      </c>
      <c r="L49" s="267"/>
      <c r="M49" s="267">
        <v>44266</v>
      </c>
      <c r="N49" s="281"/>
      <c r="O49" s="267">
        <f>SUM(G49+I49+K49+M49)</f>
        <v>58071</v>
      </c>
      <c r="X49" s="840"/>
      <c r="Y49" s="841"/>
      <c r="Z49" s="841"/>
    </row>
    <row r="50" spans="1:26" s="288" customFormat="1" ht="31.5" customHeight="1" x14ac:dyDescent="0.2">
      <c r="A50" s="842" t="s">
        <v>106</v>
      </c>
      <c r="B50" s="843"/>
      <c r="C50" s="286"/>
      <c r="D50" s="287">
        <f>SUM(D29:D49)</f>
        <v>0</v>
      </c>
      <c r="E50" s="379">
        <f>SUM(E43:E49)</f>
        <v>22298.012999999999</v>
      </c>
      <c r="F50" s="287">
        <f>SUM(F29:F49)</f>
        <v>0</v>
      </c>
      <c r="G50" s="287">
        <f>SUM(G43:G49)</f>
        <v>29764</v>
      </c>
      <c r="H50" s="287">
        <f>SUM(H29:H49)</f>
        <v>0</v>
      </c>
      <c r="I50" s="287">
        <f>SUM(I43:I49)</f>
        <v>33294</v>
      </c>
      <c r="J50" s="287">
        <f>SUM(J29:J49)</f>
        <v>0</v>
      </c>
      <c r="K50" s="287">
        <f>SUM(K43:K49)</f>
        <v>54268</v>
      </c>
      <c r="L50" s="287">
        <f>SUM(L29:L49)</f>
        <v>0</v>
      </c>
      <c r="M50" s="287">
        <f>SUM(M43:M49)</f>
        <v>849645</v>
      </c>
      <c r="N50" s="287">
        <f>SUM(N29:N49)</f>
        <v>0</v>
      </c>
      <c r="O50" s="287">
        <f>SUM(O43:O49)</f>
        <v>966971</v>
      </c>
      <c r="P50" s="297">
        <f>SUM(G50+I50+K50+M50)</f>
        <v>966971</v>
      </c>
      <c r="X50" s="840"/>
      <c r="Y50" s="841"/>
      <c r="Z50" s="841"/>
    </row>
    <row r="51" spans="1:26" ht="18.75" x14ac:dyDescent="0.2">
      <c r="A51" s="380"/>
      <c r="B51" s="381"/>
      <c r="C51" s="382"/>
      <c r="D51" s="383"/>
      <c r="E51" s="383"/>
      <c r="F51" s="384"/>
      <c r="G51" s="384"/>
      <c r="H51" s="383"/>
      <c r="I51" s="383"/>
      <c r="J51" s="383"/>
      <c r="K51" s="383"/>
      <c r="L51" s="383"/>
      <c r="M51" s="383"/>
      <c r="N51" s="385"/>
      <c r="O51" s="383"/>
      <c r="X51" s="840"/>
      <c r="Y51" s="841"/>
      <c r="Z51" s="841"/>
    </row>
    <row r="52" spans="1:26" ht="18.75" x14ac:dyDescent="0.2">
      <c r="A52" s="298"/>
      <c r="B52" s="299"/>
      <c r="C52" s="300"/>
      <c r="D52" s="301"/>
      <c r="E52" s="301"/>
      <c r="F52" s="302"/>
      <c r="G52" s="302"/>
      <c r="H52" s="301"/>
      <c r="I52" s="301"/>
      <c r="J52" s="301"/>
      <c r="K52" s="301"/>
      <c r="L52" s="301"/>
      <c r="M52" s="301"/>
      <c r="N52" s="303"/>
      <c r="O52" s="301"/>
    </row>
    <row r="53" spans="1:26" ht="15.75" x14ac:dyDescent="0.25">
      <c r="A53" s="270"/>
      <c r="B53" s="270"/>
      <c r="C53" s="304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</row>
    <row r="54" spans="1:26" ht="15.75" x14ac:dyDescent="0.25">
      <c r="A54" s="270"/>
      <c r="B54" s="270"/>
      <c r="C54" s="304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</row>
  </sheetData>
  <mergeCells count="41">
    <mergeCell ref="A1:M1"/>
    <mergeCell ref="A3:D3"/>
    <mergeCell ref="A4:A6"/>
    <mergeCell ref="B4:B6"/>
    <mergeCell ref="C4:C6"/>
    <mergeCell ref="D4:M4"/>
    <mergeCell ref="D5:E5"/>
    <mergeCell ref="F5:G5"/>
    <mergeCell ref="H5:I5"/>
    <mergeCell ref="J5:K5"/>
    <mergeCell ref="L5:M5"/>
    <mergeCell ref="A19:B19"/>
    <mergeCell ref="A20:D20"/>
    <mergeCell ref="A21:A23"/>
    <mergeCell ref="B21:B23"/>
    <mergeCell ref="C21:C23"/>
    <mergeCell ref="D21:M21"/>
    <mergeCell ref="N21:O22"/>
    <mergeCell ref="D22:E22"/>
    <mergeCell ref="F22:G22"/>
    <mergeCell ref="H22:I22"/>
    <mergeCell ref="J22:K22"/>
    <mergeCell ref="L22:M22"/>
    <mergeCell ref="A35:B35"/>
    <mergeCell ref="A38:B38"/>
    <mergeCell ref="A39:A41"/>
    <mergeCell ref="B39:B41"/>
    <mergeCell ref="C39:C41"/>
    <mergeCell ref="N39:O40"/>
    <mergeCell ref="D40:E40"/>
    <mergeCell ref="F40:G40"/>
    <mergeCell ref="H40:I40"/>
    <mergeCell ref="J40:K40"/>
    <mergeCell ref="L40:M40"/>
    <mergeCell ref="D39:M39"/>
    <mergeCell ref="A42:O42"/>
    <mergeCell ref="A46:O46"/>
    <mergeCell ref="X49:X51"/>
    <mergeCell ref="Y49:Y51"/>
    <mergeCell ref="Z49:Z51"/>
    <mergeCell ref="A50:B50"/>
  </mergeCells>
  <printOptions horizontalCentered="1" verticalCentered="1"/>
  <pageMargins left="0.70866141732283472" right="0.70866141732283472" top="0.43307086614173229" bottom="0.47244094488188981" header="0.15748031496062992" footer="0.31496062992125984"/>
  <pageSetup paperSize="9" scale="54" orientation="landscape" r:id="rId1"/>
  <headerFooter>
    <oddHeader>&amp;CDunaharaszti  Város Önkormányzat 2016. évi zárszámadás
&amp;R&amp;A</oddHeader>
    <oddFooter>&amp;C&amp;P/&amp;N</oddFooter>
  </headerFooter>
  <rowBreaks count="1" manualBreakCount="1">
    <brk id="36" max="14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688"/>
  <sheetViews>
    <sheetView view="pageBreakPreview" zoomScaleNormal="100" zoomScaleSheetLayoutView="100" workbookViewId="0">
      <selection activeCell="B40" sqref="B40"/>
    </sheetView>
  </sheetViews>
  <sheetFormatPr defaultColWidth="12.42578125" defaultRowHeight="11.25" x14ac:dyDescent="0.2"/>
  <cols>
    <col min="1" max="1" width="25.5703125" style="117" bestFit="1" customWidth="1"/>
    <col min="2" max="4" width="26.140625" style="117" bestFit="1" customWidth="1"/>
    <col min="5" max="5" width="16.42578125" style="117" bestFit="1" customWidth="1"/>
    <col min="6" max="6" width="21.85546875" style="117" customWidth="1"/>
    <col min="7" max="16384" width="12.42578125" style="117"/>
  </cols>
  <sheetData>
    <row r="1" spans="1:94" ht="14.25" customHeight="1" x14ac:dyDescent="0.25">
      <c r="A1" s="115"/>
      <c r="B1" s="115"/>
      <c r="C1" s="115"/>
      <c r="D1" s="859"/>
      <c r="E1" s="859"/>
      <c r="F1" s="115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</row>
    <row r="2" spans="1:94" s="118" customFormat="1" ht="29.25" customHeight="1" x14ac:dyDescent="0.25">
      <c r="A2" s="860" t="s">
        <v>576</v>
      </c>
      <c r="B2" s="860"/>
      <c r="C2" s="860"/>
      <c r="D2" s="860"/>
      <c r="E2" s="860"/>
      <c r="F2" s="115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</row>
    <row r="3" spans="1:94" s="116" customFormat="1" ht="14.25" customHeight="1" x14ac:dyDescent="0.25">
      <c r="A3" s="861"/>
      <c r="B3" s="861"/>
      <c r="C3" s="861"/>
      <c r="D3" s="861"/>
      <c r="E3" s="861"/>
      <c r="F3" s="861"/>
    </row>
    <row r="4" spans="1:94" s="116" customFormat="1" ht="11.25" customHeight="1" x14ac:dyDescent="0.2">
      <c r="A4" s="119"/>
      <c r="E4" s="120"/>
      <c r="F4" s="121"/>
    </row>
    <row r="5" spans="1:94" s="116" customFormat="1" ht="3" customHeight="1" thickBot="1" x14ac:dyDescent="0.25">
      <c r="F5" s="120"/>
    </row>
    <row r="6" spans="1:94" s="122" customFormat="1" ht="37.5" customHeight="1" x14ac:dyDescent="0.2">
      <c r="A6" s="862" t="s">
        <v>2</v>
      </c>
      <c r="B6" s="863" t="s">
        <v>577</v>
      </c>
      <c r="C6" s="863"/>
      <c r="D6" s="863"/>
      <c r="E6" s="864" t="s">
        <v>106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</row>
    <row r="7" spans="1:94" s="124" customFormat="1" ht="26.25" customHeight="1" thickBot="1" x14ac:dyDescent="0.25">
      <c r="A7" s="862"/>
      <c r="B7" s="373">
        <f>+B16+B43</f>
        <v>349492568</v>
      </c>
      <c r="C7" s="373">
        <v>207051367</v>
      </c>
      <c r="D7" s="373">
        <v>92948633</v>
      </c>
      <c r="E7" s="865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</row>
    <row r="8" spans="1:94" s="127" customFormat="1" ht="45" customHeight="1" x14ac:dyDescent="0.2">
      <c r="A8" s="125" t="s">
        <v>578</v>
      </c>
      <c r="B8" s="126" t="s">
        <v>579</v>
      </c>
      <c r="C8" s="126" t="s">
        <v>580</v>
      </c>
      <c r="D8" s="126" t="s">
        <v>581</v>
      </c>
      <c r="E8" s="865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</row>
    <row r="9" spans="1:94" s="127" customFormat="1" ht="22.5" customHeight="1" x14ac:dyDescent="0.2">
      <c r="A9" s="125" t="s">
        <v>582</v>
      </c>
      <c r="B9" s="128">
        <v>41466</v>
      </c>
      <c r="C9" s="128">
        <v>41647</v>
      </c>
      <c r="D9" s="128">
        <v>41647</v>
      </c>
      <c r="E9" s="865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</row>
    <row r="10" spans="1:94" s="127" customFormat="1" ht="18" customHeight="1" x14ac:dyDescent="0.2">
      <c r="A10" s="129" t="s">
        <v>583</v>
      </c>
      <c r="B10" s="130"/>
      <c r="C10" s="130"/>
      <c r="D10" s="130"/>
      <c r="E10" s="865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</row>
    <row r="11" spans="1:94" s="127" customFormat="1" ht="13.5" customHeight="1" x14ac:dyDescent="0.2">
      <c r="A11" s="131" t="s">
        <v>584</v>
      </c>
      <c r="B11" s="132" t="s">
        <v>1052</v>
      </c>
      <c r="C11" s="132" t="s">
        <v>1053</v>
      </c>
      <c r="D11" s="132" t="s">
        <v>1053</v>
      </c>
      <c r="E11" s="865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</row>
    <row r="12" spans="1:94" s="135" customFormat="1" ht="12.75" customHeight="1" x14ac:dyDescent="0.2">
      <c r="A12" s="131" t="s">
        <v>70</v>
      </c>
      <c r="B12" s="133" t="s">
        <v>3</v>
      </c>
      <c r="C12" s="133" t="s">
        <v>4</v>
      </c>
      <c r="D12" s="133" t="s">
        <v>5</v>
      </c>
      <c r="E12" s="865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</row>
    <row r="13" spans="1:94" s="138" customFormat="1" ht="31.5" customHeight="1" x14ac:dyDescent="0.2">
      <c r="A13" s="123" t="s">
        <v>585</v>
      </c>
      <c r="B13" s="136" t="s">
        <v>586</v>
      </c>
      <c r="C13" s="136" t="s">
        <v>586</v>
      </c>
      <c r="D13" s="136" t="s">
        <v>586</v>
      </c>
      <c r="E13" s="865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</row>
    <row r="14" spans="1:94" s="138" customFormat="1" ht="44.25" customHeight="1" x14ac:dyDescent="0.2">
      <c r="A14" s="139" t="s">
        <v>587</v>
      </c>
      <c r="B14" s="140"/>
      <c r="C14" s="140"/>
      <c r="D14" s="140"/>
      <c r="E14" s="866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</row>
    <row r="15" spans="1:94" s="142" customFormat="1" ht="14.25" customHeight="1" x14ac:dyDescent="0.2">
      <c r="A15" s="141" t="s">
        <v>588</v>
      </c>
      <c r="B15" s="141"/>
      <c r="C15" s="141"/>
      <c r="D15" s="141"/>
      <c r="E15" s="141" t="s">
        <v>589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</row>
    <row r="16" spans="1:94" ht="15.95" customHeight="1" x14ac:dyDescent="0.2">
      <c r="A16" s="123" t="s">
        <v>1055</v>
      </c>
      <c r="B16" s="143">
        <v>64716139</v>
      </c>
      <c r="C16" s="143"/>
      <c r="D16" s="143"/>
      <c r="E16" s="144">
        <f>SUM(B16:B16)</f>
        <v>64716139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</row>
    <row r="17" spans="1:94" ht="15.95" customHeight="1" x14ac:dyDescent="0.2">
      <c r="A17" s="123" t="s">
        <v>590</v>
      </c>
      <c r="B17" s="143"/>
      <c r="C17" s="143"/>
      <c r="D17" s="143"/>
      <c r="E17" s="144">
        <f>SUM(B17:B17)</f>
        <v>0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</row>
    <row r="18" spans="1:94" s="118" customFormat="1" ht="15.95" customHeight="1" x14ac:dyDescent="0.2">
      <c r="A18" s="123" t="s">
        <v>591</v>
      </c>
      <c r="B18" s="143"/>
      <c r="C18" s="143"/>
      <c r="D18" s="143"/>
      <c r="E18" s="144">
        <f>SUM(B18:B18)</f>
        <v>0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</row>
    <row r="19" spans="1:94" s="118" customFormat="1" ht="15.95" customHeight="1" x14ac:dyDescent="0.2">
      <c r="A19" s="123" t="s">
        <v>592</v>
      </c>
      <c r="B19" s="143"/>
      <c r="C19" s="143">
        <v>2435898</v>
      </c>
      <c r="D19" s="143">
        <v>1094000</v>
      </c>
      <c r="E19" s="144">
        <f>SUM(B19:D19)</f>
        <v>3529898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</row>
    <row r="20" spans="1:94" s="118" customFormat="1" ht="15.95" customHeight="1" x14ac:dyDescent="0.2">
      <c r="A20" s="123" t="s">
        <v>593</v>
      </c>
      <c r="B20" s="143">
        <v>10547274</v>
      </c>
      <c r="C20" s="143">
        <v>9743592</v>
      </c>
      <c r="D20" s="143">
        <v>4376000</v>
      </c>
      <c r="E20" s="144">
        <f t="shared" ref="E20:E41" si="0">SUM(B20:D20)</f>
        <v>24666866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</row>
    <row r="21" spans="1:94" s="118" customFormat="1" ht="15.95" customHeight="1" x14ac:dyDescent="0.2">
      <c r="A21" s="123" t="s">
        <v>594</v>
      </c>
      <c r="B21" s="143">
        <v>14063032</v>
      </c>
      <c r="C21" s="143">
        <v>9743592</v>
      </c>
      <c r="D21" s="143">
        <v>4376000</v>
      </c>
      <c r="E21" s="144">
        <f t="shared" si="0"/>
        <v>28182624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</row>
    <row r="22" spans="1:94" s="118" customFormat="1" ht="15.95" customHeight="1" x14ac:dyDescent="0.2">
      <c r="A22" s="123" t="s">
        <v>595</v>
      </c>
      <c r="B22" s="143">
        <v>14063032</v>
      </c>
      <c r="C22" s="143">
        <v>9743592</v>
      </c>
      <c r="D22" s="143">
        <v>4376000</v>
      </c>
      <c r="E22" s="144">
        <f t="shared" si="0"/>
        <v>28182624</v>
      </c>
      <c r="F22" s="116"/>
      <c r="G22" s="145"/>
      <c r="H22" s="146"/>
      <c r="I22" s="146"/>
      <c r="J22" s="147"/>
      <c r="K22" s="148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</row>
    <row r="23" spans="1:94" s="118" customFormat="1" ht="15.95" customHeight="1" x14ac:dyDescent="0.2">
      <c r="A23" s="123" t="s">
        <v>596</v>
      </c>
      <c r="B23" s="143">
        <v>14063032</v>
      </c>
      <c r="C23" s="143">
        <v>9743592</v>
      </c>
      <c r="D23" s="143">
        <v>4376000</v>
      </c>
      <c r="E23" s="144">
        <f t="shared" si="0"/>
        <v>28182624</v>
      </c>
      <c r="F23" s="116"/>
      <c r="G23" s="149"/>
      <c r="H23" s="149"/>
      <c r="I23" s="149"/>
      <c r="J23" s="149"/>
      <c r="K23" s="149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</row>
    <row r="24" spans="1:94" s="118" customFormat="1" ht="15.95" customHeight="1" x14ac:dyDescent="0.2">
      <c r="A24" s="123" t="s">
        <v>597</v>
      </c>
      <c r="B24" s="143">
        <v>14063032</v>
      </c>
      <c r="C24" s="143">
        <v>9743592</v>
      </c>
      <c r="D24" s="143">
        <v>4376000</v>
      </c>
      <c r="E24" s="144">
        <f t="shared" si="0"/>
        <v>28182624</v>
      </c>
      <c r="F24" s="116"/>
      <c r="G24" s="149"/>
      <c r="H24" s="149"/>
      <c r="I24" s="149"/>
      <c r="J24" s="149"/>
      <c r="K24" s="149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</row>
    <row r="25" spans="1:94" s="118" customFormat="1" ht="15.95" customHeight="1" x14ac:dyDescent="0.2">
      <c r="A25" s="123" t="s">
        <v>598</v>
      </c>
      <c r="B25" s="143">
        <v>14063032</v>
      </c>
      <c r="C25" s="143">
        <v>9743592</v>
      </c>
      <c r="D25" s="143">
        <v>4376000</v>
      </c>
      <c r="E25" s="144">
        <f t="shared" si="0"/>
        <v>28182624</v>
      </c>
      <c r="F25" s="116"/>
      <c r="G25" s="149"/>
      <c r="H25" s="149"/>
      <c r="I25" s="149"/>
      <c r="J25" s="149"/>
      <c r="K25" s="149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</row>
    <row r="26" spans="1:94" s="118" customFormat="1" ht="15.95" customHeight="1" x14ac:dyDescent="0.2">
      <c r="A26" s="123" t="s">
        <v>599</v>
      </c>
      <c r="B26" s="143">
        <v>14063032</v>
      </c>
      <c r="C26" s="143">
        <v>9743592</v>
      </c>
      <c r="D26" s="143">
        <v>4376000</v>
      </c>
      <c r="E26" s="144">
        <f t="shared" si="0"/>
        <v>28182624</v>
      </c>
      <c r="F26" s="116"/>
      <c r="G26" s="149"/>
      <c r="H26" s="149"/>
      <c r="I26" s="149"/>
      <c r="J26" s="149"/>
      <c r="K26" s="149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</row>
    <row r="27" spans="1:94" s="118" customFormat="1" ht="15.95" customHeight="1" x14ac:dyDescent="0.2">
      <c r="A27" s="123" t="s">
        <v>600</v>
      </c>
      <c r="B27" s="143">
        <v>14063032</v>
      </c>
      <c r="C27" s="143">
        <v>9743592</v>
      </c>
      <c r="D27" s="143">
        <v>4376000</v>
      </c>
      <c r="E27" s="144">
        <f t="shared" si="0"/>
        <v>28182624</v>
      </c>
      <c r="F27" s="116"/>
      <c r="G27" s="149"/>
      <c r="H27" s="149"/>
      <c r="I27" s="149"/>
      <c r="J27" s="149"/>
      <c r="K27" s="149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</row>
    <row r="28" spans="1:94" s="118" customFormat="1" ht="15.95" customHeight="1" x14ac:dyDescent="0.2">
      <c r="A28" s="123" t="s">
        <v>601</v>
      </c>
      <c r="B28" s="143">
        <v>14063032</v>
      </c>
      <c r="C28" s="143">
        <v>9743592</v>
      </c>
      <c r="D28" s="143">
        <v>4376000</v>
      </c>
      <c r="E28" s="144">
        <f t="shared" si="0"/>
        <v>28182624</v>
      </c>
      <c r="F28" s="116"/>
      <c r="G28" s="149"/>
      <c r="H28" s="149"/>
      <c r="I28" s="149"/>
      <c r="J28" s="149"/>
      <c r="K28" s="149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</row>
    <row r="29" spans="1:94" s="118" customFormat="1" ht="15.95" customHeight="1" x14ac:dyDescent="0.2">
      <c r="A29" s="123" t="s">
        <v>602</v>
      </c>
      <c r="B29" s="143">
        <v>14063032</v>
      </c>
      <c r="C29" s="143">
        <v>9743592</v>
      </c>
      <c r="D29" s="143">
        <v>4376000</v>
      </c>
      <c r="E29" s="144">
        <f t="shared" si="0"/>
        <v>28182624</v>
      </c>
      <c r="F29" s="116"/>
      <c r="G29" s="149"/>
      <c r="H29" s="149"/>
      <c r="I29" s="149"/>
      <c r="J29" s="149"/>
      <c r="K29" s="149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</row>
    <row r="30" spans="1:94" s="118" customFormat="1" ht="15.95" customHeight="1" x14ac:dyDescent="0.2">
      <c r="A30" s="123" t="s">
        <v>603</v>
      </c>
      <c r="B30" s="143">
        <v>14063032</v>
      </c>
      <c r="C30" s="143">
        <v>9743592</v>
      </c>
      <c r="D30" s="143">
        <v>4376000</v>
      </c>
      <c r="E30" s="144">
        <f t="shared" si="0"/>
        <v>28182624</v>
      </c>
      <c r="F30" s="116"/>
      <c r="G30" s="149"/>
      <c r="H30" s="149"/>
      <c r="I30" s="149"/>
      <c r="J30" s="149"/>
      <c r="K30" s="149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</row>
    <row r="31" spans="1:94" s="118" customFormat="1" ht="15.95" customHeight="1" x14ac:dyDescent="0.2">
      <c r="A31" s="123" t="s">
        <v>604</v>
      </c>
      <c r="B31" s="143">
        <v>14063032</v>
      </c>
      <c r="C31" s="143">
        <v>9743592</v>
      </c>
      <c r="D31" s="143">
        <v>4376000</v>
      </c>
      <c r="E31" s="144">
        <f t="shared" si="0"/>
        <v>28182624</v>
      </c>
      <c r="F31" s="116"/>
      <c r="G31" s="149"/>
      <c r="H31" s="149"/>
      <c r="I31" s="149"/>
      <c r="J31" s="149"/>
      <c r="K31" s="149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</row>
    <row r="32" spans="1:94" s="118" customFormat="1" ht="15.95" customHeight="1" x14ac:dyDescent="0.2">
      <c r="A32" s="123" t="s">
        <v>605</v>
      </c>
      <c r="B32" s="143">
        <v>14063032</v>
      </c>
      <c r="C32" s="143">
        <v>9743592</v>
      </c>
      <c r="D32" s="143">
        <v>4376000</v>
      </c>
      <c r="E32" s="144">
        <f t="shared" si="0"/>
        <v>28182624</v>
      </c>
      <c r="F32" s="116"/>
      <c r="G32" s="149"/>
      <c r="H32" s="149"/>
      <c r="I32" s="149"/>
      <c r="J32" s="149"/>
      <c r="K32" s="149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</row>
    <row r="33" spans="1:94" s="118" customFormat="1" ht="15.95" customHeight="1" x14ac:dyDescent="0.2">
      <c r="A33" s="123" t="s">
        <v>606</v>
      </c>
      <c r="B33" s="143">
        <v>14063032</v>
      </c>
      <c r="C33" s="143">
        <v>9743592</v>
      </c>
      <c r="D33" s="143">
        <v>4376000</v>
      </c>
      <c r="E33" s="144">
        <f t="shared" si="0"/>
        <v>28182624</v>
      </c>
      <c r="F33" s="116"/>
      <c r="G33" s="149"/>
      <c r="H33" s="149"/>
      <c r="I33" s="149"/>
      <c r="J33" s="149"/>
      <c r="K33" s="149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</row>
    <row r="34" spans="1:94" s="118" customFormat="1" ht="15.95" customHeight="1" x14ac:dyDescent="0.2">
      <c r="A34" s="123" t="s">
        <v>607</v>
      </c>
      <c r="B34" s="143">
        <v>14063032</v>
      </c>
      <c r="C34" s="143">
        <v>9743592</v>
      </c>
      <c r="D34" s="143">
        <v>4376000</v>
      </c>
      <c r="E34" s="144">
        <f t="shared" si="0"/>
        <v>28182624</v>
      </c>
      <c r="F34" s="116"/>
      <c r="G34" s="149"/>
      <c r="H34" s="149"/>
      <c r="I34" s="149"/>
      <c r="J34" s="149"/>
      <c r="K34" s="149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</row>
    <row r="35" spans="1:94" s="118" customFormat="1" ht="15.95" customHeight="1" x14ac:dyDescent="0.2">
      <c r="A35" s="123" t="s">
        <v>608</v>
      </c>
      <c r="B35" s="143">
        <v>14063032</v>
      </c>
      <c r="C35" s="143">
        <v>9743592</v>
      </c>
      <c r="D35" s="143">
        <v>4376000</v>
      </c>
      <c r="E35" s="144">
        <f t="shared" si="0"/>
        <v>28182624</v>
      </c>
      <c r="F35" s="116"/>
      <c r="G35" s="149"/>
      <c r="H35" s="149"/>
      <c r="I35" s="149"/>
      <c r="J35" s="149"/>
      <c r="K35" s="149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</row>
    <row r="36" spans="1:94" s="118" customFormat="1" ht="15.95" customHeight="1" x14ac:dyDescent="0.2">
      <c r="A36" s="123" t="s">
        <v>609</v>
      </c>
      <c r="B36" s="143">
        <v>14063032</v>
      </c>
      <c r="C36" s="143">
        <v>9743592</v>
      </c>
      <c r="D36" s="143">
        <v>4376000</v>
      </c>
      <c r="E36" s="144">
        <f t="shared" si="0"/>
        <v>28182624</v>
      </c>
      <c r="F36" s="116"/>
      <c r="G36" s="149"/>
      <c r="H36" s="149"/>
      <c r="I36" s="149"/>
      <c r="J36" s="149"/>
      <c r="K36" s="149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</row>
    <row r="37" spans="1:94" s="118" customFormat="1" ht="15.95" customHeight="1" x14ac:dyDescent="0.2">
      <c r="A37" s="123" t="s">
        <v>610</v>
      </c>
      <c r="B37" s="143">
        <v>14063032</v>
      </c>
      <c r="C37" s="143">
        <v>9743592</v>
      </c>
      <c r="D37" s="143">
        <v>4376000</v>
      </c>
      <c r="E37" s="144">
        <f t="shared" si="0"/>
        <v>28182624</v>
      </c>
      <c r="F37" s="116"/>
      <c r="G37" s="149"/>
      <c r="H37" s="149"/>
      <c r="I37" s="149"/>
      <c r="J37" s="149"/>
      <c r="K37" s="149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</row>
    <row r="38" spans="1:94" s="118" customFormat="1" ht="15.95" customHeight="1" x14ac:dyDescent="0.2">
      <c r="A38" s="123" t="s">
        <v>611</v>
      </c>
      <c r="B38" s="143">
        <v>14063032</v>
      </c>
      <c r="C38" s="143">
        <v>9743592</v>
      </c>
      <c r="D38" s="143">
        <v>4376000</v>
      </c>
      <c r="E38" s="144">
        <f t="shared" si="0"/>
        <v>28182624</v>
      </c>
      <c r="F38" s="116"/>
      <c r="G38" s="149"/>
      <c r="H38" s="149"/>
      <c r="I38" s="149"/>
      <c r="J38" s="149"/>
      <c r="K38" s="149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</row>
    <row r="39" spans="1:94" s="118" customFormat="1" ht="15.95" customHeight="1" x14ac:dyDescent="0.2">
      <c r="A39" s="123" t="s">
        <v>612</v>
      </c>
      <c r="B39" s="143">
        <v>14063032</v>
      </c>
      <c r="C39" s="143">
        <v>9743592</v>
      </c>
      <c r="D39" s="143">
        <v>4376000</v>
      </c>
      <c r="E39" s="144">
        <f t="shared" si="0"/>
        <v>28182624</v>
      </c>
      <c r="F39" s="116"/>
      <c r="G39" s="149"/>
      <c r="H39" s="149"/>
      <c r="I39" s="149"/>
      <c r="J39" s="149"/>
      <c r="K39" s="149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</row>
    <row r="40" spans="1:94" s="118" customFormat="1" ht="15.95" customHeight="1" x14ac:dyDescent="0.2">
      <c r="A40" s="123" t="s">
        <v>613</v>
      </c>
      <c r="B40" s="143">
        <v>7031547</v>
      </c>
      <c r="C40" s="143">
        <v>9743629</v>
      </c>
      <c r="D40" s="143">
        <v>4334633</v>
      </c>
      <c r="E40" s="144">
        <f t="shared" si="0"/>
        <v>21109809</v>
      </c>
      <c r="F40" s="116"/>
      <c r="G40" s="149"/>
      <c r="H40" s="149"/>
      <c r="I40" s="149"/>
      <c r="J40" s="149"/>
      <c r="K40" s="149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</row>
    <row r="41" spans="1:94" s="118" customFormat="1" ht="15.95" customHeight="1" x14ac:dyDescent="0.2">
      <c r="A41" s="150" t="s">
        <v>614</v>
      </c>
      <c r="B41" s="151"/>
      <c r="C41" s="151"/>
      <c r="D41" s="152"/>
      <c r="E41" s="144">
        <f t="shared" si="0"/>
        <v>0</v>
      </c>
      <c r="F41" s="116"/>
      <c r="G41" s="149"/>
      <c r="H41" s="149"/>
      <c r="I41" s="149"/>
      <c r="J41" s="149"/>
      <c r="K41" s="149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</row>
    <row r="42" spans="1:94" s="157" customFormat="1" ht="31.5" customHeight="1" thickBot="1" x14ac:dyDescent="0.25">
      <c r="A42" s="153" t="s">
        <v>1050</v>
      </c>
      <c r="B42" s="154">
        <f>SUM(B20:B41)</f>
        <v>284776429</v>
      </c>
      <c r="C42" s="154">
        <f>SUM(C19:C41)</f>
        <v>207051367</v>
      </c>
      <c r="D42" s="154">
        <f>SUM(D19:D41)</f>
        <v>92948633</v>
      </c>
      <c r="E42" s="154">
        <f>SUM(E19:E41)</f>
        <v>584776429</v>
      </c>
      <c r="F42" s="155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</row>
    <row r="43" spans="1:94" s="161" customFormat="1" ht="31.5" customHeight="1" thickTop="1" thickBot="1" x14ac:dyDescent="0.2">
      <c r="A43" s="158" t="s">
        <v>1051</v>
      </c>
      <c r="B43" s="159">
        <f>281850730+2925699</f>
        <v>284776429</v>
      </c>
      <c r="C43" s="159">
        <f>103163943+103887424</f>
        <v>207051367</v>
      </c>
      <c r="D43" s="159">
        <f>90381754+2566879</f>
        <v>92948633</v>
      </c>
      <c r="E43" s="159">
        <f>SUM(B43:D43)</f>
        <v>584776429</v>
      </c>
      <c r="F43" s="160"/>
      <c r="G43" s="160"/>
    </row>
    <row r="44" spans="1:94" s="161" customFormat="1" ht="31.5" customHeight="1" thickTop="1" thickBot="1" x14ac:dyDescent="0.2">
      <c r="A44" s="162" t="s">
        <v>615</v>
      </c>
      <c r="B44" s="159">
        <v>0</v>
      </c>
      <c r="C44" s="159">
        <v>0</v>
      </c>
      <c r="D44" s="159">
        <v>0</v>
      </c>
      <c r="E44" s="159">
        <f>SUM(B44:D44)</f>
        <v>0</v>
      </c>
      <c r="F44" s="160"/>
      <c r="G44" s="160"/>
    </row>
    <row r="45" spans="1:94" s="116" customFormat="1" ht="11.25" customHeight="1" thickTop="1" x14ac:dyDescent="0.2">
      <c r="A45" s="163"/>
      <c r="B45" s="164"/>
      <c r="C45" s="164"/>
      <c r="D45" s="164"/>
      <c r="E45" s="164"/>
      <c r="F45" s="165"/>
    </row>
    <row r="46" spans="1:94" s="167" customFormat="1" ht="9" customHeight="1" x14ac:dyDescent="0.15">
      <c r="A46" s="172"/>
      <c r="B46" s="172"/>
      <c r="C46" s="166"/>
      <c r="D46" s="166"/>
      <c r="F46" s="168"/>
      <c r="G46" s="168"/>
    </row>
    <row r="47" spans="1:94" s="172" customFormat="1" ht="21" customHeight="1" x14ac:dyDescent="0.15">
      <c r="A47" s="858" t="s">
        <v>1054</v>
      </c>
      <c r="B47" s="858"/>
      <c r="C47" s="169"/>
      <c r="D47" s="169"/>
      <c r="E47" s="170"/>
      <c r="F47" s="171"/>
      <c r="G47" s="171"/>
    </row>
    <row r="48" spans="1:94" s="116" customFormat="1" x14ac:dyDescent="0.2">
      <c r="A48" s="173"/>
      <c r="C48" s="120"/>
      <c r="D48" s="120"/>
      <c r="E48" s="174"/>
      <c r="F48" s="175"/>
      <c r="H48" s="175"/>
    </row>
    <row r="49" spans="1:94" s="116" customFormat="1" x14ac:dyDescent="0.2">
      <c r="A49" s="173"/>
      <c r="B49" s="175">
        <f>SUM(B16:B41)</f>
        <v>349492568</v>
      </c>
      <c r="C49" s="175"/>
      <c r="D49" s="175"/>
      <c r="F49" s="175"/>
    </row>
    <row r="50" spans="1:94" s="116" customFormat="1" ht="10.5" customHeight="1" x14ac:dyDescent="0.2"/>
    <row r="51" spans="1:94" s="116" customFormat="1" x14ac:dyDescent="0.2"/>
    <row r="52" spans="1:94" s="116" customFormat="1" x14ac:dyDescent="0.2">
      <c r="B52" s="165">
        <f>+B42-B43-B44</f>
        <v>0</v>
      </c>
    </row>
    <row r="53" spans="1:94" s="116" customFormat="1" x14ac:dyDescent="0.2"/>
    <row r="54" spans="1:94" s="116" customFormat="1" x14ac:dyDescent="0.2">
      <c r="B54" s="175"/>
      <c r="C54" s="175"/>
      <c r="D54" s="175"/>
      <c r="E54" s="175"/>
    </row>
    <row r="55" spans="1:94" s="176" customFormat="1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</row>
    <row r="56" spans="1:94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</row>
    <row r="57" spans="1:94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</row>
    <row r="58" spans="1:94" x14ac:dyDescent="0.2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</row>
    <row r="59" spans="1:94" x14ac:dyDescent="0.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</row>
    <row r="60" spans="1:94" x14ac:dyDescent="0.2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</row>
    <row r="61" spans="1:94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</row>
    <row r="62" spans="1:94" x14ac:dyDescent="0.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</row>
    <row r="63" spans="1:94" x14ac:dyDescent="0.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</row>
    <row r="64" spans="1:94" x14ac:dyDescent="0.2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</row>
    <row r="65" spans="1:94" x14ac:dyDescent="0.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</row>
    <row r="66" spans="1:94" x14ac:dyDescent="0.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</row>
    <row r="67" spans="1:94" x14ac:dyDescent="0.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</row>
    <row r="68" spans="1:94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</row>
    <row r="69" spans="1:94" x14ac:dyDescent="0.2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</row>
    <row r="70" spans="1:94" x14ac:dyDescent="0.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</row>
    <row r="71" spans="1:94" x14ac:dyDescent="0.2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</row>
    <row r="72" spans="1:94" x14ac:dyDescent="0.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</row>
    <row r="73" spans="1:94" x14ac:dyDescent="0.2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</row>
    <row r="74" spans="1:94" x14ac:dyDescent="0.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</row>
    <row r="75" spans="1:94" x14ac:dyDescent="0.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</row>
    <row r="76" spans="1:94" x14ac:dyDescent="0.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</row>
    <row r="77" spans="1:94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</row>
    <row r="78" spans="1:94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</row>
    <row r="79" spans="1:94" x14ac:dyDescent="0.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</row>
    <row r="80" spans="1:94" x14ac:dyDescent="0.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</row>
    <row r="81" spans="1:94" x14ac:dyDescent="0.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</row>
    <row r="82" spans="1:94" x14ac:dyDescent="0.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</row>
    <row r="83" spans="1:94" x14ac:dyDescent="0.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</row>
    <row r="84" spans="1:94" x14ac:dyDescent="0.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</row>
    <row r="85" spans="1:94" x14ac:dyDescent="0.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</row>
    <row r="86" spans="1:94" x14ac:dyDescent="0.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</row>
    <row r="87" spans="1:94" x14ac:dyDescent="0.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</row>
    <row r="88" spans="1:94" x14ac:dyDescent="0.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</row>
    <row r="89" spans="1:94" x14ac:dyDescent="0.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</row>
    <row r="90" spans="1:94" x14ac:dyDescent="0.2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</row>
    <row r="91" spans="1:94" x14ac:dyDescent="0.2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</row>
    <row r="92" spans="1:94" x14ac:dyDescent="0.2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</row>
    <row r="93" spans="1:94" x14ac:dyDescent="0.2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</row>
    <row r="94" spans="1:94" x14ac:dyDescent="0.2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</row>
    <row r="95" spans="1:94" x14ac:dyDescent="0.2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</row>
    <row r="96" spans="1:94" x14ac:dyDescent="0.2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</row>
    <row r="97" spans="1:94" x14ac:dyDescent="0.2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</row>
    <row r="98" spans="1:94" x14ac:dyDescent="0.2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</row>
    <row r="99" spans="1:94" x14ac:dyDescent="0.2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</row>
    <row r="100" spans="1:94" x14ac:dyDescent="0.2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</row>
    <row r="101" spans="1:94" x14ac:dyDescent="0.2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</row>
    <row r="102" spans="1:94" x14ac:dyDescent="0.2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</row>
    <row r="103" spans="1:94" x14ac:dyDescent="0.2">
      <c r="A103" s="116"/>
      <c r="B103" s="116"/>
      <c r="C103" s="116"/>
      <c r="D103" s="116"/>
      <c r="E103" s="116"/>
      <c r="F103" s="116"/>
      <c r="G103" s="116"/>
      <c r="H103" s="177"/>
    </row>
    <row r="104" spans="1:94" x14ac:dyDescent="0.2">
      <c r="A104" s="116"/>
      <c r="B104" s="116"/>
      <c r="C104" s="116"/>
      <c r="D104" s="116"/>
      <c r="E104" s="116"/>
      <c r="F104" s="116"/>
      <c r="G104" s="116"/>
      <c r="H104" s="177"/>
    </row>
    <row r="105" spans="1:94" x14ac:dyDescent="0.2">
      <c r="A105" s="116"/>
      <c r="B105" s="116"/>
      <c r="C105" s="116"/>
      <c r="D105" s="116"/>
      <c r="E105" s="116"/>
      <c r="F105" s="116"/>
      <c r="G105" s="116"/>
      <c r="H105" s="177"/>
    </row>
    <row r="106" spans="1:94" x14ac:dyDescent="0.2">
      <c r="A106" s="116"/>
      <c r="B106" s="116"/>
      <c r="C106" s="116"/>
      <c r="D106" s="116"/>
      <c r="E106" s="116"/>
      <c r="F106" s="116"/>
      <c r="G106" s="116"/>
      <c r="H106" s="177"/>
    </row>
    <row r="107" spans="1:94" x14ac:dyDescent="0.2">
      <c r="A107" s="116"/>
      <c r="B107" s="116"/>
      <c r="C107" s="116"/>
      <c r="D107" s="116"/>
      <c r="E107" s="116"/>
      <c r="F107" s="116"/>
      <c r="G107" s="116"/>
      <c r="H107" s="177"/>
    </row>
    <row r="108" spans="1:94" x14ac:dyDescent="0.2">
      <c r="A108" s="116"/>
      <c r="B108" s="116"/>
      <c r="C108" s="116"/>
      <c r="D108" s="116"/>
      <c r="E108" s="116"/>
      <c r="F108" s="116"/>
      <c r="G108" s="116"/>
      <c r="H108" s="177"/>
    </row>
    <row r="109" spans="1:94" x14ac:dyDescent="0.2">
      <c r="A109" s="116"/>
      <c r="B109" s="116"/>
      <c r="C109" s="116"/>
      <c r="D109" s="116"/>
      <c r="E109" s="116"/>
      <c r="F109" s="116"/>
      <c r="G109" s="116"/>
      <c r="H109" s="177"/>
    </row>
    <row r="110" spans="1:94" x14ac:dyDescent="0.2">
      <c r="A110" s="116"/>
      <c r="B110" s="116"/>
      <c r="C110" s="116"/>
      <c r="D110" s="116"/>
      <c r="E110" s="116"/>
      <c r="F110" s="116"/>
      <c r="G110" s="116"/>
      <c r="H110" s="177"/>
    </row>
    <row r="111" spans="1:94" x14ac:dyDescent="0.2">
      <c r="A111" s="116"/>
      <c r="B111" s="116"/>
      <c r="C111" s="116"/>
      <c r="D111" s="116"/>
      <c r="E111" s="116"/>
      <c r="F111" s="116"/>
      <c r="G111" s="116"/>
      <c r="H111" s="177"/>
    </row>
    <row r="112" spans="1:94" x14ac:dyDescent="0.2">
      <c r="A112" s="116"/>
      <c r="B112" s="116"/>
      <c r="C112" s="116"/>
      <c r="D112" s="116"/>
      <c r="E112" s="116"/>
      <c r="F112" s="116"/>
      <c r="G112" s="116"/>
      <c r="H112" s="177"/>
    </row>
    <row r="113" spans="1:8" x14ac:dyDescent="0.2">
      <c r="A113" s="116"/>
      <c r="B113" s="116"/>
      <c r="C113" s="116"/>
      <c r="D113" s="116"/>
      <c r="E113" s="116"/>
      <c r="F113" s="116"/>
      <c r="G113" s="116"/>
      <c r="H113" s="177"/>
    </row>
    <row r="114" spans="1:8" x14ac:dyDescent="0.2">
      <c r="A114" s="116"/>
      <c r="B114" s="116"/>
      <c r="C114" s="116"/>
      <c r="D114" s="116"/>
      <c r="E114" s="116"/>
      <c r="F114" s="116"/>
      <c r="G114" s="116"/>
      <c r="H114" s="177"/>
    </row>
    <row r="115" spans="1:8" x14ac:dyDescent="0.2">
      <c r="A115" s="116"/>
      <c r="B115" s="116"/>
      <c r="C115" s="116"/>
      <c r="D115" s="116"/>
      <c r="E115" s="116"/>
      <c r="F115" s="116"/>
      <c r="G115" s="116"/>
      <c r="H115" s="177"/>
    </row>
    <row r="116" spans="1:8" x14ac:dyDescent="0.2">
      <c r="A116" s="116"/>
      <c r="B116" s="116"/>
      <c r="C116" s="116"/>
      <c r="D116" s="116"/>
      <c r="E116" s="116"/>
      <c r="F116" s="116"/>
      <c r="G116" s="116"/>
      <c r="H116" s="177"/>
    </row>
    <row r="117" spans="1:8" x14ac:dyDescent="0.2">
      <c r="A117" s="116"/>
      <c r="B117" s="116"/>
      <c r="C117" s="116"/>
      <c r="D117" s="116"/>
      <c r="E117" s="116"/>
      <c r="F117" s="116"/>
      <c r="G117" s="116"/>
      <c r="H117" s="177"/>
    </row>
    <row r="118" spans="1:8" x14ac:dyDescent="0.2">
      <c r="A118" s="116"/>
      <c r="B118" s="116"/>
      <c r="C118" s="116"/>
      <c r="D118" s="116"/>
      <c r="E118" s="116"/>
      <c r="F118" s="116"/>
      <c r="G118" s="116"/>
      <c r="H118" s="177"/>
    </row>
    <row r="119" spans="1:8" x14ac:dyDescent="0.2">
      <c r="A119" s="116"/>
      <c r="B119" s="116"/>
      <c r="C119" s="116"/>
      <c r="D119" s="116"/>
      <c r="E119" s="116"/>
      <c r="F119" s="116"/>
      <c r="G119" s="116"/>
      <c r="H119" s="177"/>
    </row>
    <row r="120" spans="1:8" x14ac:dyDescent="0.2">
      <c r="A120" s="116"/>
      <c r="B120" s="116"/>
      <c r="C120" s="116"/>
      <c r="D120" s="116"/>
      <c r="E120" s="116"/>
      <c r="F120" s="116"/>
      <c r="G120" s="116"/>
      <c r="H120" s="177"/>
    </row>
    <row r="121" spans="1:8" x14ac:dyDescent="0.2">
      <c r="A121" s="116"/>
      <c r="B121" s="116"/>
      <c r="C121" s="116"/>
      <c r="D121" s="116"/>
      <c r="E121" s="116"/>
      <c r="F121" s="116"/>
      <c r="G121" s="116"/>
      <c r="H121" s="177"/>
    </row>
    <row r="122" spans="1:8" x14ac:dyDescent="0.2">
      <c r="A122" s="116"/>
      <c r="B122" s="116"/>
      <c r="C122" s="116"/>
      <c r="D122" s="116"/>
      <c r="E122" s="116"/>
      <c r="F122" s="116"/>
      <c r="G122" s="116"/>
      <c r="H122" s="177"/>
    </row>
    <row r="123" spans="1:8" x14ac:dyDescent="0.2">
      <c r="A123" s="116"/>
      <c r="B123" s="116"/>
      <c r="C123" s="116"/>
      <c r="D123" s="116"/>
      <c r="E123" s="116"/>
      <c r="F123" s="116"/>
      <c r="G123" s="116"/>
      <c r="H123" s="177"/>
    </row>
    <row r="124" spans="1:8" x14ac:dyDescent="0.2">
      <c r="A124" s="116"/>
      <c r="B124" s="116"/>
      <c r="C124" s="116"/>
      <c r="D124" s="116"/>
      <c r="E124" s="116"/>
      <c r="F124" s="116"/>
      <c r="G124" s="116"/>
      <c r="H124" s="177"/>
    </row>
    <row r="125" spans="1:8" x14ac:dyDescent="0.2">
      <c r="A125" s="116"/>
      <c r="B125" s="116"/>
      <c r="C125" s="116"/>
      <c r="D125" s="116"/>
      <c r="E125" s="116"/>
      <c r="F125" s="116"/>
      <c r="G125" s="116"/>
      <c r="H125" s="177"/>
    </row>
    <row r="126" spans="1:8" x14ac:dyDescent="0.2">
      <c r="A126" s="116"/>
      <c r="B126" s="116"/>
      <c r="C126" s="116"/>
      <c r="D126" s="116"/>
      <c r="E126" s="116"/>
      <c r="F126" s="116"/>
      <c r="G126" s="116"/>
      <c r="H126" s="177"/>
    </row>
    <row r="127" spans="1:8" x14ac:dyDescent="0.2">
      <c r="A127" s="116"/>
      <c r="B127" s="116"/>
      <c r="C127" s="116"/>
      <c r="D127" s="116"/>
      <c r="E127" s="116"/>
      <c r="F127" s="116"/>
      <c r="G127" s="116"/>
      <c r="H127" s="177"/>
    </row>
    <row r="128" spans="1:8" x14ac:dyDescent="0.2">
      <c r="A128" s="116"/>
      <c r="B128" s="116"/>
      <c r="C128" s="116"/>
      <c r="D128" s="116"/>
      <c r="E128" s="116"/>
      <c r="F128" s="116"/>
      <c r="G128" s="116"/>
      <c r="H128" s="177"/>
    </row>
    <row r="129" spans="1:8" x14ac:dyDescent="0.2">
      <c r="A129" s="116"/>
      <c r="B129" s="116"/>
      <c r="C129" s="116"/>
      <c r="D129" s="116"/>
      <c r="E129" s="116"/>
      <c r="F129" s="116"/>
      <c r="G129" s="116"/>
      <c r="H129" s="177"/>
    </row>
    <row r="130" spans="1:8" x14ac:dyDescent="0.2">
      <c r="A130" s="116"/>
      <c r="B130" s="116"/>
      <c r="C130" s="116"/>
      <c r="D130" s="116"/>
      <c r="E130" s="116"/>
      <c r="F130" s="116"/>
      <c r="G130" s="116"/>
      <c r="H130" s="177"/>
    </row>
    <row r="131" spans="1:8" x14ac:dyDescent="0.2">
      <c r="A131" s="116"/>
      <c r="B131" s="116"/>
      <c r="C131" s="116"/>
      <c r="D131" s="116"/>
      <c r="E131" s="116"/>
      <c r="F131" s="116"/>
      <c r="G131" s="116"/>
      <c r="H131" s="177"/>
    </row>
    <row r="132" spans="1:8" x14ac:dyDescent="0.2">
      <c r="A132" s="116"/>
      <c r="B132" s="116"/>
      <c r="C132" s="116"/>
      <c r="D132" s="116"/>
      <c r="E132" s="116"/>
      <c r="F132" s="116"/>
      <c r="G132" s="116"/>
      <c r="H132" s="177"/>
    </row>
    <row r="133" spans="1:8" x14ac:dyDescent="0.2">
      <c r="A133" s="116"/>
      <c r="B133" s="116"/>
      <c r="C133" s="116"/>
      <c r="D133" s="116"/>
      <c r="E133" s="116"/>
      <c r="F133" s="116"/>
      <c r="G133" s="116"/>
      <c r="H133" s="177"/>
    </row>
    <row r="134" spans="1:8" x14ac:dyDescent="0.2">
      <c r="A134" s="116"/>
      <c r="B134" s="116"/>
      <c r="C134" s="116"/>
      <c r="D134" s="116"/>
      <c r="E134" s="116"/>
      <c r="F134" s="116"/>
      <c r="G134" s="116"/>
      <c r="H134" s="177"/>
    </row>
    <row r="135" spans="1:8" x14ac:dyDescent="0.2">
      <c r="A135" s="116"/>
      <c r="B135" s="116"/>
      <c r="C135" s="116"/>
      <c r="D135" s="116"/>
      <c r="E135" s="116"/>
      <c r="F135" s="116"/>
      <c r="G135" s="116"/>
      <c r="H135" s="177"/>
    </row>
    <row r="136" spans="1:8" x14ac:dyDescent="0.2">
      <c r="A136" s="116"/>
      <c r="B136" s="116"/>
      <c r="C136" s="116"/>
      <c r="D136" s="116"/>
      <c r="E136" s="116"/>
      <c r="F136" s="116"/>
      <c r="G136" s="116"/>
      <c r="H136" s="177"/>
    </row>
    <row r="137" spans="1:8" x14ac:dyDescent="0.2">
      <c r="A137" s="116"/>
      <c r="B137" s="116"/>
      <c r="C137" s="116"/>
      <c r="D137" s="116"/>
      <c r="E137" s="116"/>
      <c r="F137" s="116"/>
      <c r="G137" s="116"/>
      <c r="H137" s="177"/>
    </row>
    <row r="138" spans="1:8" x14ac:dyDescent="0.2">
      <c r="A138" s="116"/>
      <c r="B138" s="116"/>
      <c r="C138" s="116"/>
      <c r="D138" s="116"/>
      <c r="E138" s="116"/>
      <c r="F138" s="116"/>
      <c r="G138" s="116"/>
      <c r="H138" s="177"/>
    </row>
    <row r="139" spans="1:8" x14ac:dyDescent="0.2">
      <c r="A139" s="116"/>
      <c r="B139" s="116"/>
      <c r="C139" s="116"/>
      <c r="D139" s="116"/>
      <c r="E139" s="116"/>
      <c r="F139" s="116"/>
      <c r="G139" s="116"/>
      <c r="H139" s="177"/>
    </row>
    <row r="140" spans="1:8" x14ac:dyDescent="0.2">
      <c r="A140" s="116"/>
      <c r="B140" s="116"/>
      <c r="C140" s="116"/>
      <c r="D140" s="116"/>
      <c r="E140" s="116"/>
      <c r="F140" s="116"/>
      <c r="G140" s="116"/>
      <c r="H140" s="177"/>
    </row>
    <row r="141" spans="1:8" x14ac:dyDescent="0.2">
      <c r="A141" s="116"/>
      <c r="B141" s="116"/>
      <c r="C141" s="116"/>
      <c r="D141" s="116"/>
      <c r="E141" s="116"/>
      <c r="F141" s="116"/>
      <c r="G141" s="116"/>
      <c r="H141" s="177"/>
    </row>
    <row r="142" spans="1:8" x14ac:dyDescent="0.2">
      <c r="A142" s="116"/>
      <c r="B142" s="116"/>
      <c r="C142" s="116"/>
      <c r="D142" s="116"/>
      <c r="E142" s="116"/>
      <c r="F142" s="116"/>
      <c r="G142" s="116"/>
      <c r="H142" s="177"/>
    </row>
    <row r="143" spans="1:8" x14ac:dyDescent="0.2">
      <c r="A143" s="116"/>
      <c r="B143" s="116"/>
      <c r="C143" s="116"/>
      <c r="D143" s="116"/>
      <c r="E143" s="116"/>
      <c r="F143" s="116"/>
      <c r="G143" s="116"/>
      <c r="H143" s="177"/>
    </row>
    <row r="144" spans="1:8" x14ac:dyDescent="0.2">
      <c r="A144" s="116"/>
      <c r="B144" s="116"/>
      <c r="C144" s="116"/>
      <c r="D144" s="116"/>
      <c r="E144" s="116"/>
      <c r="F144" s="116"/>
      <c r="G144" s="116"/>
      <c r="H144" s="177"/>
    </row>
    <row r="145" spans="1:8" x14ac:dyDescent="0.2">
      <c r="A145" s="116"/>
      <c r="B145" s="116"/>
      <c r="C145" s="116"/>
      <c r="D145" s="116"/>
      <c r="E145" s="116"/>
      <c r="F145" s="116"/>
      <c r="G145" s="116"/>
      <c r="H145" s="177"/>
    </row>
    <row r="146" spans="1:8" x14ac:dyDescent="0.2">
      <c r="A146" s="116"/>
      <c r="B146" s="116"/>
      <c r="C146" s="116"/>
      <c r="D146" s="116"/>
      <c r="E146" s="116"/>
      <c r="F146" s="116"/>
      <c r="G146" s="116"/>
      <c r="H146" s="177"/>
    </row>
    <row r="147" spans="1:8" x14ac:dyDescent="0.2">
      <c r="A147" s="116"/>
      <c r="B147" s="116"/>
      <c r="C147" s="116"/>
      <c r="D147" s="116"/>
      <c r="E147" s="116"/>
      <c r="F147" s="116"/>
      <c r="G147" s="116"/>
      <c r="H147" s="177"/>
    </row>
    <row r="148" spans="1:8" x14ac:dyDescent="0.2">
      <c r="A148" s="116"/>
      <c r="B148" s="116"/>
      <c r="C148" s="116"/>
      <c r="D148" s="116"/>
      <c r="E148" s="116"/>
      <c r="F148" s="116"/>
      <c r="G148" s="116"/>
      <c r="H148" s="177"/>
    </row>
    <row r="149" spans="1:8" x14ac:dyDescent="0.2">
      <c r="A149" s="116"/>
      <c r="B149" s="116"/>
      <c r="C149" s="116"/>
      <c r="D149" s="116"/>
      <c r="E149" s="116"/>
      <c r="F149" s="116"/>
      <c r="G149" s="116"/>
      <c r="H149" s="177"/>
    </row>
    <row r="150" spans="1:8" x14ac:dyDescent="0.2">
      <c r="A150" s="116"/>
      <c r="B150" s="116"/>
      <c r="C150" s="116"/>
      <c r="D150" s="116"/>
      <c r="E150" s="116"/>
      <c r="F150" s="116"/>
      <c r="G150" s="116"/>
      <c r="H150" s="177"/>
    </row>
    <row r="151" spans="1:8" x14ac:dyDescent="0.2">
      <c r="A151" s="116"/>
      <c r="B151" s="116"/>
      <c r="C151" s="116"/>
      <c r="D151" s="116"/>
      <c r="E151" s="116"/>
      <c r="F151" s="116"/>
      <c r="G151" s="116"/>
      <c r="H151" s="177"/>
    </row>
    <row r="152" spans="1:8" x14ac:dyDescent="0.2">
      <c r="A152" s="116"/>
      <c r="B152" s="116"/>
      <c r="C152" s="116"/>
      <c r="D152" s="116"/>
      <c r="E152" s="116"/>
      <c r="F152" s="116"/>
      <c r="G152" s="116"/>
      <c r="H152" s="177"/>
    </row>
    <row r="153" spans="1:8" x14ac:dyDescent="0.2">
      <c r="A153" s="116"/>
      <c r="B153" s="116"/>
      <c r="C153" s="116"/>
      <c r="D153" s="116"/>
      <c r="E153" s="116"/>
      <c r="F153" s="116"/>
      <c r="G153" s="116"/>
      <c r="H153" s="177"/>
    </row>
    <row r="154" spans="1:8" x14ac:dyDescent="0.2">
      <c r="A154" s="116"/>
      <c r="B154" s="116"/>
      <c r="C154" s="116"/>
      <c r="D154" s="116"/>
      <c r="E154" s="116"/>
      <c r="F154" s="116"/>
      <c r="G154" s="116"/>
      <c r="H154" s="177"/>
    </row>
    <row r="155" spans="1:8" x14ac:dyDescent="0.2">
      <c r="A155" s="116"/>
      <c r="B155" s="116"/>
      <c r="C155" s="116"/>
      <c r="D155" s="116"/>
      <c r="E155" s="116"/>
      <c r="F155" s="116"/>
      <c r="G155" s="116"/>
      <c r="H155" s="177"/>
    </row>
    <row r="156" spans="1:8" x14ac:dyDescent="0.2">
      <c r="A156" s="116"/>
      <c r="B156" s="116"/>
      <c r="C156" s="116"/>
      <c r="D156" s="116"/>
      <c r="E156" s="116"/>
      <c r="F156" s="116"/>
      <c r="G156" s="116"/>
      <c r="H156" s="177"/>
    </row>
    <row r="157" spans="1:8" x14ac:dyDescent="0.2">
      <c r="A157" s="116"/>
      <c r="B157" s="116"/>
      <c r="C157" s="116"/>
      <c r="D157" s="116"/>
      <c r="E157" s="116"/>
      <c r="F157" s="116"/>
      <c r="G157" s="116"/>
      <c r="H157" s="177"/>
    </row>
    <row r="158" spans="1:8" x14ac:dyDescent="0.2">
      <c r="A158" s="116"/>
      <c r="B158" s="116"/>
      <c r="C158" s="116"/>
      <c r="D158" s="116"/>
      <c r="E158" s="116"/>
      <c r="F158" s="116"/>
      <c r="G158" s="116"/>
      <c r="H158" s="177"/>
    </row>
    <row r="159" spans="1:8" x14ac:dyDescent="0.2">
      <c r="A159" s="116"/>
      <c r="B159" s="116"/>
      <c r="C159" s="116"/>
      <c r="D159" s="116"/>
      <c r="E159" s="116"/>
      <c r="F159" s="116"/>
      <c r="G159" s="116"/>
      <c r="H159" s="177"/>
    </row>
    <row r="160" spans="1:8" x14ac:dyDescent="0.2">
      <c r="A160" s="116"/>
      <c r="B160" s="116"/>
      <c r="C160" s="116"/>
      <c r="D160" s="116"/>
      <c r="E160" s="116"/>
      <c r="F160" s="116"/>
      <c r="G160" s="116"/>
      <c r="H160" s="177"/>
    </row>
    <row r="161" spans="1:8" x14ac:dyDescent="0.2">
      <c r="A161" s="116"/>
      <c r="B161" s="116"/>
      <c r="C161" s="116"/>
      <c r="D161" s="116"/>
      <c r="E161" s="116"/>
      <c r="F161" s="116"/>
      <c r="G161" s="116"/>
      <c r="H161" s="177"/>
    </row>
    <row r="162" spans="1:8" x14ac:dyDescent="0.2">
      <c r="A162" s="116"/>
      <c r="B162" s="116"/>
      <c r="C162" s="116"/>
      <c r="D162" s="116"/>
      <c r="E162" s="116"/>
      <c r="F162" s="116"/>
      <c r="G162" s="116"/>
      <c r="H162" s="177"/>
    </row>
    <row r="163" spans="1:8" x14ac:dyDescent="0.2">
      <c r="A163" s="116"/>
      <c r="B163" s="116"/>
      <c r="C163" s="116"/>
      <c r="D163" s="116"/>
      <c r="E163" s="116"/>
      <c r="F163" s="116"/>
      <c r="G163" s="116"/>
      <c r="H163" s="177"/>
    </row>
    <row r="164" spans="1:8" x14ac:dyDescent="0.2">
      <c r="A164" s="116"/>
      <c r="B164" s="116"/>
      <c r="C164" s="116"/>
      <c r="D164" s="116"/>
      <c r="E164" s="116"/>
      <c r="F164" s="116"/>
      <c r="G164" s="116"/>
      <c r="H164" s="177"/>
    </row>
    <row r="165" spans="1:8" x14ac:dyDescent="0.2">
      <c r="A165" s="116"/>
      <c r="B165" s="116"/>
      <c r="C165" s="116"/>
      <c r="D165" s="116"/>
      <c r="E165" s="116"/>
      <c r="F165" s="116"/>
      <c r="G165" s="116"/>
      <c r="H165" s="177"/>
    </row>
    <row r="166" spans="1:8" x14ac:dyDescent="0.2">
      <c r="A166" s="116"/>
      <c r="B166" s="116"/>
      <c r="C166" s="116"/>
      <c r="D166" s="116"/>
      <c r="E166" s="116"/>
      <c r="F166" s="116"/>
      <c r="G166" s="116"/>
      <c r="H166" s="177"/>
    </row>
    <row r="167" spans="1:8" x14ac:dyDescent="0.2">
      <c r="A167" s="116"/>
      <c r="B167" s="116"/>
      <c r="C167" s="116"/>
      <c r="D167" s="116"/>
      <c r="E167" s="116"/>
      <c r="F167" s="116"/>
      <c r="G167" s="116"/>
      <c r="H167" s="177"/>
    </row>
    <row r="168" spans="1:8" x14ac:dyDescent="0.2">
      <c r="A168" s="116"/>
      <c r="B168" s="116"/>
      <c r="C168" s="116"/>
      <c r="D168" s="116"/>
      <c r="E168" s="116"/>
      <c r="F168" s="116"/>
      <c r="G168" s="116"/>
      <c r="H168" s="177"/>
    </row>
    <row r="169" spans="1:8" x14ac:dyDescent="0.2">
      <c r="A169" s="116"/>
      <c r="B169" s="116"/>
      <c r="C169" s="116"/>
      <c r="D169" s="116"/>
      <c r="E169" s="116"/>
      <c r="F169" s="116"/>
      <c r="G169" s="116"/>
      <c r="H169" s="177"/>
    </row>
    <row r="170" spans="1:8" x14ac:dyDescent="0.2">
      <c r="A170" s="116"/>
      <c r="B170" s="116"/>
      <c r="C170" s="116"/>
      <c r="D170" s="116"/>
      <c r="E170" s="116"/>
      <c r="F170" s="116"/>
      <c r="G170" s="116"/>
      <c r="H170" s="177"/>
    </row>
    <row r="171" spans="1:8" x14ac:dyDescent="0.2">
      <c r="A171" s="116"/>
      <c r="B171" s="116"/>
      <c r="C171" s="116"/>
      <c r="D171" s="116"/>
      <c r="E171" s="116"/>
      <c r="F171" s="116"/>
      <c r="G171" s="116"/>
      <c r="H171" s="177"/>
    </row>
    <row r="172" spans="1:8" x14ac:dyDescent="0.2">
      <c r="A172" s="116"/>
      <c r="B172" s="116"/>
      <c r="C172" s="116"/>
      <c r="D172" s="116"/>
      <c r="E172" s="116"/>
      <c r="F172" s="116"/>
      <c r="G172" s="116"/>
      <c r="H172" s="177"/>
    </row>
    <row r="173" spans="1:8" x14ac:dyDescent="0.2">
      <c r="A173" s="116"/>
      <c r="B173" s="116"/>
      <c r="C173" s="116"/>
      <c r="D173" s="116"/>
      <c r="E173" s="116"/>
      <c r="F173" s="116"/>
      <c r="G173" s="116"/>
      <c r="H173" s="177"/>
    </row>
    <row r="174" spans="1:8" x14ac:dyDescent="0.2">
      <c r="A174" s="116"/>
      <c r="B174" s="116"/>
      <c r="C174" s="116"/>
      <c r="D174" s="116"/>
      <c r="E174" s="116"/>
      <c r="F174" s="116"/>
      <c r="G174" s="116"/>
      <c r="H174" s="177"/>
    </row>
    <row r="175" spans="1:8" x14ac:dyDescent="0.2">
      <c r="A175" s="116"/>
      <c r="B175" s="116"/>
      <c r="C175" s="116"/>
      <c r="D175" s="116"/>
      <c r="E175" s="116"/>
      <c r="F175" s="116"/>
      <c r="G175" s="116"/>
      <c r="H175" s="177"/>
    </row>
    <row r="176" spans="1:8" x14ac:dyDescent="0.2">
      <c r="A176" s="116"/>
      <c r="B176" s="116"/>
      <c r="C176" s="116"/>
      <c r="D176" s="116"/>
      <c r="E176" s="116"/>
      <c r="F176" s="116"/>
      <c r="G176" s="116"/>
      <c r="H176" s="177"/>
    </row>
    <row r="177" spans="1:11" x14ac:dyDescent="0.2">
      <c r="A177" s="116"/>
      <c r="B177" s="116"/>
      <c r="C177" s="116"/>
      <c r="D177" s="116"/>
      <c r="E177" s="116"/>
      <c r="F177" s="116"/>
      <c r="G177" s="116"/>
      <c r="H177" s="177"/>
    </row>
    <row r="178" spans="1:11" x14ac:dyDescent="0.2">
      <c r="A178" s="116"/>
      <c r="B178" s="116"/>
      <c r="C178" s="116"/>
      <c r="D178" s="116"/>
      <c r="E178" s="116"/>
      <c r="F178" s="116"/>
      <c r="G178" s="116"/>
      <c r="H178" s="177"/>
    </row>
    <row r="179" spans="1:11" x14ac:dyDescent="0.2">
      <c r="A179" s="116"/>
      <c r="B179" s="116"/>
      <c r="C179" s="116"/>
      <c r="D179" s="116"/>
      <c r="E179" s="116"/>
      <c r="F179" s="116"/>
      <c r="G179" s="116"/>
      <c r="H179" s="177"/>
    </row>
    <row r="180" spans="1:11" x14ac:dyDescent="0.2">
      <c r="A180" s="116"/>
      <c r="B180" s="116"/>
      <c r="C180" s="116"/>
      <c r="D180" s="116"/>
      <c r="E180" s="116"/>
      <c r="F180" s="116"/>
      <c r="G180" s="116"/>
      <c r="H180" s="177"/>
    </row>
    <row r="181" spans="1:11" x14ac:dyDescent="0.2">
      <c r="A181" s="116"/>
      <c r="B181" s="116"/>
      <c r="C181" s="116"/>
      <c r="D181" s="116"/>
      <c r="E181" s="116"/>
      <c r="F181" s="116"/>
      <c r="G181" s="116"/>
      <c r="H181" s="177"/>
    </row>
    <row r="182" spans="1:11" x14ac:dyDescent="0.2">
      <c r="A182" s="116"/>
      <c r="B182" s="116"/>
      <c r="C182" s="116"/>
      <c r="D182" s="116"/>
      <c r="E182" s="116"/>
      <c r="F182" s="116"/>
      <c r="G182" s="116"/>
      <c r="H182" s="177"/>
    </row>
    <row r="183" spans="1:11" x14ac:dyDescent="0.2">
      <c r="A183" s="116"/>
      <c r="B183" s="116"/>
      <c r="C183" s="116"/>
      <c r="D183" s="116"/>
      <c r="E183" s="116"/>
      <c r="F183" s="116"/>
      <c r="G183" s="116"/>
      <c r="H183" s="177"/>
    </row>
    <row r="184" spans="1:11" x14ac:dyDescent="0.2">
      <c r="A184" s="116"/>
      <c r="B184" s="116"/>
      <c r="C184" s="116"/>
      <c r="D184" s="116"/>
      <c r="E184" s="116"/>
      <c r="F184" s="116"/>
      <c r="G184" s="116"/>
      <c r="H184" s="177"/>
    </row>
    <row r="185" spans="1:11" x14ac:dyDescent="0.2">
      <c r="A185" s="116"/>
      <c r="B185" s="116"/>
      <c r="C185" s="116"/>
      <c r="D185" s="116"/>
      <c r="E185" s="116"/>
      <c r="F185" s="116"/>
      <c r="G185" s="116"/>
      <c r="H185" s="178"/>
      <c r="I185" s="118"/>
      <c r="J185" s="118"/>
    </row>
    <row r="186" spans="1:11" x14ac:dyDescent="0.2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77"/>
    </row>
    <row r="187" spans="1:11" x14ac:dyDescent="0.2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77"/>
    </row>
    <row r="188" spans="1:11" x14ac:dyDescent="0.2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77"/>
    </row>
    <row r="189" spans="1:11" x14ac:dyDescent="0.2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77"/>
    </row>
    <row r="190" spans="1:11" x14ac:dyDescent="0.2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77"/>
    </row>
    <row r="191" spans="1:11" x14ac:dyDescent="0.2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77"/>
    </row>
    <row r="192" spans="1:11" x14ac:dyDescent="0.2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77"/>
    </row>
    <row r="193" spans="1:11" x14ac:dyDescent="0.2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77"/>
    </row>
    <row r="194" spans="1:11" x14ac:dyDescent="0.2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77"/>
    </row>
    <row r="195" spans="1:11" x14ac:dyDescent="0.2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77"/>
    </row>
    <row r="196" spans="1:11" x14ac:dyDescent="0.2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77"/>
    </row>
    <row r="197" spans="1:11" x14ac:dyDescent="0.2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77"/>
    </row>
    <row r="198" spans="1:11" x14ac:dyDescent="0.2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77"/>
    </row>
    <row r="199" spans="1:11" x14ac:dyDescent="0.2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77"/>
    </row>
    <row r="200" spans="1:11" x14ac:dyDescent="0.2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77"/>
    </row>
    <row r="201" spans="1:11" x14ac:dyDescent="0.2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77"/>
    </row>
    <row r="202" spans="1:11" x14ac:dyDescent="0.2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77"/>
    </row>
    <row r="203" spans="1:11" x14ac:dyDescent="0.2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77"/>
    </row>
    <row r="204" spans="1:11" x14ac:dyDescent="0.2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77"/>
    </row>
    <row r="205" spans="1:11" x14ac:dyDescent="0.2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77"/>
    </row>
    <row r="206" spans="1:11" x14ac:dyDescent="0.2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77"/>
    </row>
    <row r="207" spans="1:11" x14ac:dyDescent="0.2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77"/>
    </row>
    <row r="208" spans="1:11" x14ac:dyDescent="0.2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77"/>
    </row>
    <row r="209" spans="1:11" x14ac:dyDescent="0.2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77"/>
    </row>
    <row r="210" spans="1:11" x14ac:dyDescent="0.2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77"/>
    </row>
    <row r="211" spans="1:11" x14ac:dyDescent="0.2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77"/>
    </row>
    <row r="212" spans="1:11" x14ac:dyDescent="0.2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77"/>
    </row>
    <row r="213" spans="1:11" x14ac:dyDescent="0.2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77"/>
    </row>
    <row r="214" spans="1:11" x14ac:dyDescent="0.2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77"/>
    </row>
    <row r="215" spans="1:11" x14ac:dyDescent="0.2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77"/>
    </row>
    <row r="216" spans="1:11" x14ac:dyDescent="0.2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77"/>
    </row>
    <row r="217" spans="1:11" x14ac:dyDescent="0.2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77"/>
    </row>
    <row r="218" spans="1:11" x14ac:dyDescent="0.2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77"/>
    </row>
    <row r="219" spans="1:11" x14ac:dyDescent="0.2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77"/>
    </row>
    <row r="220" spans="1:11" x14ac:dyDescent="0.2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77"/>
    </row>
    <row r="221" spans="1:11" x14ac:dyDescent="0.2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77"/>
    </row>
    <row r="222" spans="1:11" x14ac:dyDescent="0.2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77"/>
    </row>
    <row r="223" spans="1:11" x14ac:dyDescent="0.2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77"/>
    </row>
    <row r="224" spans="1:11" x14ac:dyDescent="0.2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77"/>
    </row>
    <row r="225" spans="1:11" x14ac:dyDescent="0.2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77"/>
    </row>
    <row r="226" spans="1:11" x14ac:dyDescent="0.2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77"/>
    </row>
    <row r="227" spans="1:11" x14ac:dyDescent="0.2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77"/>
    </row>
    <row r="228" spans="1:11" x14ac:dyDescent="0.2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77"/>
    </row>
    <row r="229" spans="1:11" x14ac:dyDescent="0.2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77"/>
    </row>
    <row r="230" spans="1:11" x14ac:dyDescent="0.2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77"/>
    </row>
    <row r="231" spans="1:11" x14ac:dyDescent="0.2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77"/>
    </row>
    <row r="232" spans="1:11" x14ac:dyDescent="0.2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77"/>
    </row>
    <row r="233" spans="1:11" x14ac:dyDescent="0.2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77"/>
    </row>
    <row r="234" spans="1:11" x14ac:dyDescent="0.2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77"/>
    </row>
    <row r="235" spans="1:11" x14ac:dyDescent="0.2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77"/>
    </row>
    <row r="236" spans="1:11" x14ac:dyDescent="0.2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77"/>
    </row>
    <row r="237" spans="1:11" x14ac:dyDescent="0.2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77"/>
    </row>
    <row r="238" spans="1:11" x14ac:dyDescent="0.2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77"/>
    </row>
    <row r="239" spans="1:11" x14ac:dyDescent="0.2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77"/>
    </row>
    <row r="240" spans="1:11" x14ac:dyDescent="0.2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77"/>
    </row>
    <row r="241" spans="1:11" x14ac:dyDescent="0.2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77"/>
    </row>
    <row r="242" spans="1:11" x14ac:dyDescent="0.2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77"/>
    </row>
    <row r="243" spans="1:11" x14ac:dyDescent="0.2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77"/>
    </row>
    <row r="244" spans="1:11" x14ac:dyDescent="0.2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77"/>
    </row>
    <row r="245" spans="1:11" x14ac:dyDescent="0.2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77"/>
    </row>
    <row r="246" spans="1:11" x14ac:dyDescent="0.2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77"/>
    </row>
    <row r="247" spans="1:11" x14ac:dyDescent="0.2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77"/>
    </row>
    <row r="248" spans="1:11" x14ac:dyDescent="0.2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77"/>
    </row>
    <row r="249" spans="1:11" x14ac:dyDescent="0.2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77"/>
    </row>
    <row r="250" spans="1:11" x14ac:dyDescent="0.2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77"/>
    </row>
    <row r="251" spans="1:11" x14ac:dyDescent="0.2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77"/>
    </row>
    <row r="252" spans="1:11" x14ac:dyDescent="0.2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77"/>
    </row>
    <row r="253" spans="1:11" x14ac:dyDescent="0.2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77"/>
    </row>
    <row r="254" spans="1:11" x14ac:dyDescent="0.2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77"/>
    </row>
    <row r="255" spans="1:11" x14ac:dyDescent="0.2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77"/>
    </row>
    <row r="256" spans="1:11" x14ac:dyDescent="0.2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77"/>
    </row>
    <row r="257" spans="1:11" x14ac:dyDescent="0.2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77"/>
    </row>
    <row r="258" spans="1:11" x14ac:dyDescent="0.2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77"/>
    </row>
    <row r="259" spans="1:11" x14ac:dyDescent="0.2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77"/>
    </row>
    <row r="260" spans="1:11" x14ac:dyDescent="0.2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77"/>
    </row>
    <row r="261" spans="1:11" x14ac:dyDescent="0.2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77"/>
    </row>
    <row r="262" spans="1:11" x14ac:dyDescent="0.2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77"/>
    </row>
    <row r="263" spans="1:11" x14ac:dyDescent="0.2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77"/>
    </row>
    <row r="264" spans="1:11" x14ac:dyDescent="0.2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77"/>
    </row>
    <row r="265" spans="1:11" x14ac:dyDescent="0.2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77"/>
    </row>
    <row r="266" spans="1:11" x14ac:dyDescent="0.2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77"/>
    </row>
    <row r="267" spans="1:11" x14ac:dyDescent="0.2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77"/>
    </row>
    <row r="268" spans="1:11" x14ac:dyDescent="0.2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77"/>
    </row>
    <row r="269" spans="1:11" x14ac:dyDescent="0.2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77"/>
    </row>
    <row r="270" spans="1:11" x14ac:dyDescent="0.2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77"/>
    </row>
    <row r="271" spans="1:11" x14ac:dyDescent="0.2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77"/>
    </row>
    <row r="272" spans="1:11" x14ac:dyDescent="0.2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77"/>
    </row>
    <row r="273" spans="1:11" x14ac:dyDescent="0.2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77"/>
    </row>
    <row r="274" spans="1:11" x14ac:dyDescent="0.2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77"/>
    </row>
    <row r="275" spans="1:11" x14ac:dyDescent="0.2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77"/>
    </row>
    <row r="276" spans="1:11" x14ac:dyDescent="0.2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77"/>
    </row>
    <row r="277" spans="1:11" x14ac:dyDescent="0.2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77"/>
    </row>
    <row r="278" spans="1:11" x14ac:dyDescent="0.2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77"/>
    </row>
    <row r="279" spans="1:11" x14ac:dyDescent="0.2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77"/>
    </row>
    <row r="280" spans="1:11" x14ac:dyDescent="0.2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77"/>
    </row>
    <row r="281" spans="1:11" x14ac:dyDescent="0.2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77"/>
    </row>
    <row r="282" spans="1:11" x14ac:dyDescent="0.2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77"/>
    </row>
    <row r="283" spans="1:11" x14ac:dyDescent="0.2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77"/>
    </row>
    <row r="284" spans="1:11" x14ac:dyDescent="0.2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77"/>
    </row>
    <row r="285" spans="1:11" x14ac:dyDescent="0.2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77"/>
    </row>
    <row r="286" spans="1:11" x14ac:dyDescent="0.2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77"/>
    </row>
    <row r="287" spans="1:11" x14ac:dyDescent="0.2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77"/>
    </row>
    <row r="288" spans="1:11" x14ac:dyDescent="0.2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77"/>
    </row>
    <row r="289" spans="1:11" x14ac:dyDescent="0.2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77"/>
    </row>
    <row r="290" spans="1:11" x14ac:dyDescent="0.2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77"/>
    </row>
    <row r="291" spans="1:11" x14ac:dyDescent="0.2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77"/>
    </row>
    <row r="292" spans="1:11" x14ac:dyDescent="0.2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77"/>
    </row>
    <row r="293" spans="1:11" x14ac:dyDescent="0.2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77"/>
    </row>
    <row r="294" spans="1:11" x14ac:dyDescent="0.2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77"/>
    </row>
    <row r="295" spans="1:11" x14ac:dyDescent="0.2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77"/>
    </row>
    <row r="296" spans="1:11" x14ac:dyDescent="0.2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77"/>
    </row>
    <row r="297" spans="1:11" x14ac:dyDescent="0.2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77"/>
    </row>
    <row r="298" spans="1:11" x14ac:dyDescent="0.2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77"/>
    </row>
    <row r="299" spans="1:11" x14ac:dyDescent="0.2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77"/>
    </row>
    <row r="300" spans="1:11" x14ac:dyDescent="0.2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77"/>
    </row>
    <row r="301" spans="1:11" x14ac:dyDescent="0.2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77"/>
    </row>
    <row r="302" spans="1:11" x14ac:dyDescent="0.2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77"/>
    </row>
    <row r="303" spans="1:11" x14ac:dyDescent="0.2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77"/>
    </row>
    <row r="304" spans="1:11" x14ac:dyDescent="0.2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77"/>
    </row>
    <row r="305" spans="1:11" x14ac:dyDescent="0.2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77"/>
    </row>
    <row r="306" spans="1:11" x14ac:dyDescent="0.2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77"/>
    </row>
    <row r="307" spans="1:11" x14ac:dyDescent="0.2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77"/>
    </row>
    <row r="308" spans="1:11" x14ac:dyDescent="0.2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77"/>
    </row>
    <row r="309" spans="1:11" x14ac:dyDescent="0.2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77"/>
    </row>
    <row r="310" spans="1:11" x14ac:dyDescent="0.2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77"/>
    </row>
    <row r="311" spans="1:11" x14ac:dyDescent="0.2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77"/>
    </row>
    <row r="312" spans="1:11" x14ac:dyDescent="0.2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77"/>
    </row>
    <row r="313" spans="1:11" x14ac:dyDescent="0.2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77"/>
    </row>
    <row r="314" spans="1:11" x14ac:dyDescent="0.2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77"/>
    </row>
    <row r="315" spans="1:11" x14ac:dyDescent="0.2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77"/>
    </row>
    <row r="316" spans="1:11" x14ac:dyDescent="0.2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77"/>
    </row>
    <row r="317" spans="1:11" x14ac:dyDescent="0.2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77"/>
    </row>
    <row r="318" spans="1:11" x14ac:dyDescent="0.2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77"/>
    </row>
    <row r="319" spans="1:11" x14ac:dyDescent="0.2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77"/>
    </row>
    <row r="320" spans="1:11" x14ac:dyDescent="0.2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77"/>
    </row>
    <row r="321" spans="1:11" x14ac:dyDescent="0.2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77"/>
    </row>
    <row r="322" spans="1:11" x14ac:dyDescent="0.2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77"/>
    </row>
    <row r="323" spans="1:11" x14ac:dyDescent="0.2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77"/>
    </row>
    <row r="324" spans="1:11" x14ac:dyDescent="0.2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77"/>
    </row>
    <row r="325" spans="1:11" x14ac:dyDescent="0.2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77"/>
    </row>
    <row r="326" spans="1:11" x14ac:dyDescent="0.2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77"/>
    </row>
    <row r="327" spans="1:11" x14ac:dyDescent="0.2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77"/>
    </row>
    <row r="328" spans="1:11" x14ac:dyDescent="0.2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77"/>
    </row>
    <row r="329" spans="1:11" x14ac:dyDescent="0.2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77"/>
    </row>
    <row r="330" spans="1:11" x14ac:dyDescent="0.2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77"/>
    </row>
    <row r="331" spans="1:11" x14ac:dyDescent="0.2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77"/>
    </row>
    <row r="332" spans="1:11" x14ac:dyDescent="0.2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77"/>
    </row>
    <row r="333" spans="1:11" x14ac:dyDescent="0.2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77"/>
    </row>
    <row r="334" spans="1:11" x14ac:dyDescent="0.2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77"/>
    </row>
    <row r="335" spans="1:11" x14ac:dyDescent="0.2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77"/>
    </row>
    <row r="336" spans="1:11" x14ac:dyDescent="0.2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77"/>
    </row>
    <row r="337" spans="1:11" x14ac:dyDescent="0.2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77"/>
    </row>
    <row r="338" spans="1:11" x14ac:dyDescent="0.2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77"/>
    </row>
    <row r="339" spans="1:11" x14ac:dyDescent="0.2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77"/>
    </row>
    <row r="340" spans="1:11" x14ac:dyDescent="0.2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77"/>
    </row>
    <row r="341" spans="1:11" x14ac:dyDescent="0.2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77"/>
    </row>
    <row r="342" spans="1:11" x14ac:dyDescent="0.2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77"/>
    </row>
    <row r="343" spans="1:11" x14ac:dyDescent="0.2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77"/>
    </row>
    <row r="344" spans="1:11" x14ac:dyDescent="0.2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77"/>
    </row>
    <row r="345" spans="1:11" x14ac:dyDescent="0.2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77"/>
    </row>
    <row r="346" spans="1:11" x14ac:dyDescent="0.2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77"/>
    </row>
    <row r="347" spans="1:11" x14ac:dyDescent="0.2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77"/>
    </row>
    <row r="348" spans="1:11" x14ac:dyDescent="0.2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77"/>
    </row>
    <row r="349" spans="1:11" x14ac:dyDescent="0.2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77"/>
    </row>
    <row r="350" spans="1:11" x14ac:dyDescent="0.2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77"/>
    </row>
    <row r="351" spans="1:11" x14ac:dyDescent="0.2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77"/>
    </row>
    <row r="352" spans="1:11" x14ac:dyDescent="0.2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77"/>
    </row>
    <row r="353" spans="1:11" x14ac:dyDescent="0.2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77"/>
    </row>
    <row r="354" spans="1:11" x14ac:dyDescent="0.2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77"/>
    </row>
    <row r="355" spans="1:11" x14ac:dyDescent="0.2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77"/>
    </row>
    <row r="356" spans="1:11" x14ac:dyDescent="0.2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77"/>
    </row>
    <row r="357" spans="1:11" x14ac:dyDescent="0.2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77"/>
    </row>
    <row r="358" spans="1:11" x14ac:dyDescent="0.2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77"/>
    </row>
    <row r="359" spans="1:11" x14ac:dyDescent="0.2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77"/>
    </row>
    <row r="360" spans="1:11" x14ac:dyDescent="0.2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77"/>
    </row>
    <row r="361" spans="1:11" x14ac:dyDescent="0.2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77"/>
    </row>
    <row r="362" spans="1:11" x14ac:dyDescent="0.2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77"/>
    </row>
    <row r="363" spans="1:11" x14ac:dyDescent="0.2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77"/>
    </row>
    <row r="364" spans="1:11" x14ac:dyDescent="0.2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77"/>
    </row>
    <row r="365" spans="1:11" x14ac:dyDescent="0.2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77"/>
    </row>
    <row r="366" spans="1:11" x14ac:dyDescent="0.2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77"/>
    </row>
    <row r="367" spans="1:11" x14ac:dyDescent="0.2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77"/>
    </row>
    <row r="368" spans="1:11" x14ac:dyDescent="0.2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77"/>
    </row>
    <row r="369" spans="1:11" x14ac:dyDescent="0.2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77"/>
    </row>
    <row r="370" spans="1:11" x14ac:dyDescent="0.2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77"/>
    </row>
    <row r="371" spans="1:11" x14ac:dyDescent="0.2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77"/>
    </row>
    <row r="372" spans="1:11" x14ac:dyDescent="0.2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77"/>
    </row>
    <row r="373" spans="1:11" x14ac:dyDescent="0.2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77"/>
    </row>
    <row r="374" spans="1:11" x14ac:dyDescent="0.2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77"/>
    </row>
    <row r="375" spans="1:11" x14ac:dyDescent="0.2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77"/>
    </row>
    <row r="376" spans="1:11" x14ac:dyDescent="0.2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77"/>
    </row>
    <row r="377" spans="1:11" x14ac:dyDescent="0.2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77"/>
    </row>
    <row r="378" spans="1:11" x14ac:dyDescent="0.2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77"/>
    </row>
    <row r="379" spans="1:11" x14ac:dyDescent="0.2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77"/>
    </row>
    <row r="380" spans="1:11" x14ac:dyDescent="0.2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77"/>
    </row>
    <row r="381" spans="1:11" x14ac:dyDescent="0.2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77"/>
    </row>
    <row r="382" spans="1:11" x14ac:dyDescent="0.2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77"/>
    </row>
    <row r="383" spans="1:11" x14ac:dyDescent="0.2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77"/>
    </row>
    <row r="384" spans="1:11" x14ac:dyDescent="0.2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77"/>
    </row>
    <row r="385" spans="1:11" x14ac:dyDescent="0.2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77"/>
    </row>
    <row r="386" spans="1:11" x14ac:dyDescent="0.2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77"/>
    </row>
    <row r="387" spans="1:11" x14ac:dyDescent="0.2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77"/>
    </row>
    <row r="388" spans="1:11" x14ac:dyDescent="0.2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77"/>
    </row>
    <row r="389" spans="1:11" x14ac:dyDescent="0.2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77"/>
    </row>
    <row r="390" spans="1:11" x14ac:dyDescent="0.2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77"/>
    </row>
    <row r="391" spans="1:11" x14ac:dyDescent="0.2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77"/>
    </row>
    <row r="392" spans="1:11" x14ac:dyDescent="0.2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77"/>
    </row>
    <row r="393" spans="1:11" x14ac:dyDescent="0.2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77"/>
    </row>
    <row r="394" spans="1:11" x14ac:dyDescent="0.2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77"/>
    </row>
    <row r="395" spans="1:11" x14ac:dyDescent="0.2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77"/>
    </row>
    <row r="396" spans="1:11" x14ac:dyDescent="0.2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77"/>
    </row>
    <row r="397" spans="1:11" x14ac:dyDescent="0.2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77"/>
    </row>
    <row r="398" spans="1:11" x14ac:dyDescent="0.2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77"/>
    </row>
    <row r="399" spans="1:11" x14ac:dyDescent="0.2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77"/>
    </row>
    <row r="400" spans="1:11" x14ac:dyDescent="0.2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77"/>
    </row>
    <row r="401" spans="1:11" x14ac:dyDescent="0.2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77"/>
    </row>
    <row r="402" spans="1:11" x14ac:dyDescent="0.2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77"/>
    </row>
    <row r="403" spans="1:11" x14ac:dyDescent="0.2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77"/>
    </row>
    <row r="404" spans="1:11" x14ac:dyDescent="0.2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77"/>
    </row>
    <row r="405" spans="1:11" x14ac:dyDescent="0.2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77"/>
    </row>
    <row r="406" spans="1:11" x14ac:dyDescent="0.2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77"/>
    </row>
    <row r="407" spans="1:11" x14ac:dyDescent="0.2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77"/>
    </row>
    <row r="408" spans="1:11" x14ac:dyDescent="0.2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77"/>
    </row>
    <row r="409" spans="1:11" x14ac:dyDescent="0.2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77"/>
    </row>
    <row r="410" spans="1:11" x14ac:dyDescent="0.2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77"/>
    </row>
    <row r="411" spans="1:11" x14ac:dyDescent="0.2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77"/>
    </row>
    <row r="412" spans="1:11" x14ac:dyDescent="0.2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77"/>
    </row>
    <row r="413" spans="1:11" x14ac:dyDescent="0.2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77"/>
    </row>
    <row r="414" spans="1:11" x14ac:dyDescent="0.2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77"/>
    </row>
    <row r="415" spans="1:11" x14ac:dyDescent="0.2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77"/>
    </row>
    <row r="416" spans="1:11" x14ac:dyDescent="0.2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77"/>
    </row>
    <row r="417" spans="1:11" x14ac:dyDescent="0.2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77"/>
    </row>
    <row r="418" spans="1:11" x14ac:dyDescent="0.2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77"/>
    </row>
    <row r="419" spans="1:11" x14ac:dyDescent="0.2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77"/>
    </row>
    <row r="420" spans="1:11" x14ac:dyDescent="0.2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77"/>
    </row>
    <row r="421" spans="1:11" x14ac:dyDescent="0.2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77"/>
    </row>
    <row r="422" spans="1:11" x14ac:dyDescent="0.2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77"/>
    </row>
    <row r="423" spans="1:11" x14ac:dyDescent="0.2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77"/>
    </row>
    <row r="424" spans="1:11" x14ac:dyDescent="0.2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77"/>
    </row>
    <row r="425" spans="1:11" x14ac:dyDescent="0.2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77"/>
    </row>
    <row r="426" spans="1:11" x14ac:dyDescent="0.2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77"/>
    </row>
    <row r="427" spans="1:11" x14ac:dyDescent="0.2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77"/>
    </row>
    <row r="428" spans="1:11" x14ac:dyDescent="0.2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77"/>
    </row>
    <row r="429" spans="1:11" x14ac:dyDescent="0.2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77"/>
    </row>
    <row r="430" spans="1:11" x14ac:dyDescent="0.2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77"/>
    </row>
    <row r="431" spans="1:11" x14ac:dyDescent="0.2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77"/>
    </row>
    <row r="432" spans="1:11" x14ac:dyDescent="0.2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77"/>
    </row>
    <row r="433" spans="1:11" x14ac:dyDescent="0.2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77"/>
    </row>
    <row r="434" spans="1:11" x14ac:dyDescent="0.2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77"/>
    </row>
    <row r="435" spans="1:11" x14ac:dyDescent="0.2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77"/>
    </row>
    <row r="436" spans="1:11" x14ac:dyDescent="0.2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77"/>
    </row>
    <row r="437" spans="1:11" x14ac:dyDescent="0.2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77"/>
    </row>
    <row r="438" spans="1:11" x14ac:dyDescent="0.2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77"/>
    </row>
    <row r="439" spans="1:11" x14ac:dyDescent="0.2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77"/>
    </row>
    <row r="440" spans="1:11" x14ac:dyDescent="0.2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77"/>
    </row>
    <row r="441" spans="1:11" x14ac:dyDescent="0.2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77"/>
    </row>
    <row r="442" spans="1:11" x14ac:dyDescent="0.2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77"/>
    </row>
    <row r="443" spans="1:11" x14ac:dyDescent="0.2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77"/>
    </row>
    <row r="444" spans="1:11" x14ac:dyDescent="0.2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77"/>
    </row>
    <row r="445" spans="1:11" x14ac:dyDescent="0.2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77"/>
    </row>
    <row r="446" spans="1:11" x14ac:dyDescent="0.2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77"/>
    </row>
    <row r="447" spans="1:11" x14ac:dyDescent="0.2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77"/>
    </row>
    <row r="448" spans="1:11" x14ac:dyDescent="0.2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77"/>
    </row>
    <row r="449" spans="1:11" x14ac:dyDescent="0.2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77"/>
    </row>
    <row r="450" spans="1:11" x14ac:dyDescent="0.2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77"/>
    </row>
    <row r="451" spans="1:11" x14ac:dyDescent="0.2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77"/>
    </row>
    <row r="452" spans="1:11" x14ac:dyDescent="0.2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77"/>
    </row>
    <row r="453" spans="1:11" x14ac:dyDescent="0.2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77"/>
    </row>
    <row r="454" spans="1:11" x14ac:dyDescent="0.2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77"/>
    </row>
    <row r="455" spans="1:11" x14ac:dyDescent="0.2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77"/>
    </row>
    <row r="456" spans="1:11" x14ac:dyDescent="0.2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77"/>
    </row>
    <row r="457" spans="1:11" x14ac:dyDescent="0.2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77"/>
    </row>
    <row r="458" spans="1:11" x14ac:dyDescent="0.2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77"/>
    </row>
    <row r="459" spans="1:11" x14ac:dyDescent="0.2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77"/>
    </row>
    <row r="460" spans="1:11" x14ac:dyDescent="0.2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77"/>
    </row>
    <row r="461" spans="1:11" x14ac:dyDescent="0.2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77"/>
    </row>
    <row r="462" spans="1:11" x14ac:dyDescent="0.2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77"/>
    </row>
    <row r="463" spans="1:11" x14ac:dyDescent="0.2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77"/>
    </row>
    <row r="464" spans="1:11" x14ac:dyDescent="0.2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77"/>
    </row>
    <row r="465" spans="1:11" x14ac:dyDescent="0.2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77"/>
    </row>
    <row r="466" spans="1:11" x14ac:dyDescent="0.2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77"/>
    </row>
    <row r="467" spans="1:11" x14ac:dyDescent="0.2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77"/>
    </row>
    <row r="468" spans="1:11" x14ac:dyDescent="0.2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77"/>
    </row>
    <row r="469" spans="1:11" x14ac:dyDescent="0.2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77"/>
    </row>
    <row r="470" spans="1:11" x14ac:dyDescent="0.2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77"/>
    </row>
    <row r="471" spans="1:11" x14ac:dyDescent="0.2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77"/>
    </row>
    <row r="472" spans="1:11" x14ac:dyDescent="0.2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77"/>
    </row>
    <row r="473" spans="1:11" x14ac:dyDescent="0.2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77"/>
    </row>
    <row r="474" spans="1:11" x14ac:dyDescent="0.2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77"/>
    </row>
    <row r="475" spans="1:11" x14ac:dyDescent="0.2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77"/>
    </row>
    <row r="476" spans="1:11" x14ac:dyDescent="0.2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77"/>
    </row>
    <row r="477" spans="1:11" x14ac:dyDescent="0.2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77"/>
    </row>
    <row r="478" spans="1:11" x14ac:dyDescent="0.2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77"/>
    </row>
    <row r="479" spans="1:11" x14ac:dyDescent="0.2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77"/>
    </row>
    <row r="480" spans="1:11" x14ac:dyDescent="0.2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77"/>
    </row>
    <row r="481" spans="1:11" x14ac:dyDescent="0.2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77"/>
    </row>
    <row r="482" spans="1:11" x14ac:dyDescent="0.2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77"/>
    </row>
    <row r="483" spans="1:11" x14ac:dyDescent="0.2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77"/>
    </row>
    <row r="484" spans="1:11" x14ac:dyDescent="0.2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77"/>
    </row>
    <row r="485" spans="1:11" x14ac:dyDescent="0.2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77"/>
    </row>
    <row r="486" spans="1:11" x14ac:dyDescent="0.2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77"/>
    </row>
    <row r="487" spans="1:11" x14ac:dyDescent="0.2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77"/>
    </row>
    <row r="488" spans="1:11" x14ac:dyDescent="0.2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77"/>
    </row>
    <row r="489" spans="1:11" x14ac:dyDescent="0.2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77"/>
    </row>
    <row r="490" spans="1:11" x14ac:dyDescent="0.2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77"/>
    </row>
    <row r="491" spans="1:11" x14ac:dyDescent="0.2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77"/>
    </row>
    <row r="492" spans="1:11" x14ac:dyDescent="0.2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77"/>
    </row>
    <row r="493" spans="1:11" x14ac:dyDescent="0.2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77"/>
    </row>
    <row r="494" spans="1:11" x14ac:dyDescent="0.2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77"/>
    </row>
    <row r="495" spans="1:11" x14ac:dyDescent="0.2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77"/>
    </row>
    <row r="496" spans="1:11" x14ac:dyDescent="0.2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77"/>
    </row>
    <row r="497" spans="1:11" x14ac:dyDescent="0.2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77"/>
    </row>
    <row r="498" spans="1:11" x14ac:dyDescent="0.2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77"/>
    </row>
    <row r="499" spans="1:11" x14ac:dyDescent="0.2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77"/>
    </row>
    <row r="500" spans="1:11" x14ac:dyDescent="0.2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77"/>
    </row>
    <row r="501" spans="1:11" x14ac:dyDescent="0.2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77"/>
    </row>
    <row r="502" spans="1:11" x14ac:dyDescent="0.2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77"/>
    </row>
    <row r="503" spans="1:11" x14ac:dyDescent="0.2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77"/>
    </row>
    <row r="504" spans="1:11" x14ac:dyDescent="0.2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77"/>
    </row>
    <row r="505" spans="1:11" x14ac:dyDescent="0.2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77"/>
    </row>
    <row r="506" spans="1:11" x14ac:dyDescent="0.2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77"/>
    </row>
    <row r="507" spans="1:11" x14ac:dyDescent="0.2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77"/>
    </row>
    <row r="508" spans="1:11" x14ac:dyDescent="0.2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77"/>
    </row>
    <row r="509" spans="1:11" x14ac:dyDescent="0.2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77"/>
    </row>
    <row r="510" spans="1:11" x14ac:dyDescent="0.2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77"/>
    </row>
    <row r="511" spans="1:11" x14ac:dyDescent="0.2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77"/>
    </row>
    <row r="512" spans="1:11" x14ac:dyDescent="0.2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77"/>
    </row>
    <row r="513" spans="1:11" x14ac:dyDescent="0.2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77"/>
    </row>
    <row r="514" spans="1:11" x14ac:dyDescent="0.2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77"/>
    </row>
    <row r="515" spans="1:11" x14ac:dyDescent="0.2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77"/>
    </row>
    <row r="516" spans="1:11" x14ac:dyDescent="0.2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77"/>
    </row>
    <row r="517" spans="1:11" x14ac:dyDescent="0.2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77"/>
    </row>
    <row r="518" spans="1:11" x14ac:dyDescent="0.2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77"/>
    </row>
    <row r="519" spans="1:11" x14ac:dyDescent="0.2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77"/>
    </row>
    <row r="520" spans="1:11" x14ac:dyDescent="0.2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77"/>
    </row>
    <row r="521" spans="1:11" x14ac:dyDescent="0.2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77"/>
    </row>
    <row r="522" spans="1:11" x14ac:dyDescent="0.2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77"/>
    </row>
    <row r="523" spans="1:11" x14ac:dyDescent="0.2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77"/>
    </row>
    <row r="524" spans="1:11" x14ac:dyDescent="0.2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77"/>
    </row>
    <row r="525" spans="1:11" x14ac:dyDescent="0.2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77"/>
    </row>
    <row r="526" spans="1:11" x14ac:dyDescent="0.2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77"/>
    </row>
    <row r="527" spans="1:11" x14ac:dyDescent="0.2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77"/>
    </row>
    <row r="528" spans="1:11" x14ac:dyDescent="0.2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77"/>
    </row>
    <row r="529" spans="1:11" x14ac:dyDescent="0.2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77"/>
    </row>
    <row r="530" spans="1:11" x14ac:dyDescent="0.2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77"/>
    </row>
    <row r="531" spans="1:11" x14ac:dyDescent="0.2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77"/>
    </row>
    <row r="532" spans="1:11" x14ac:dyDescent="0.2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77"/>
    </row>
    <row r="533" spans="1:11" x14ac:dyDescent="0.2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77"/>
    </row>
    <row r="534" spans="1:11" x14ac:dyDescent="0.2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77"/>
    </row>
    <row r="535" spans="1:11" x14ac:dyDescent="0.2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77"/>
    </row>
    <row r="536" spans="1:11" x14ac:dyDescent="0.2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77"/>
    </row>
    <row r="537" spans="1:11" x14ac:dyDescent="0.2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77"/>
    </row>
    <row r="538" spans="1:11" x14ac:dyDescent="0.2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77"/>
    </row>
    <row r="539" spans="1:11" x14ac:dyDescent="0.2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77"/>
    </row>
    <row r="540" spans="1:11" x14ac:dyDescent="0.2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77"/>
    </row>
    <row r="541" spans="1:11" x14ac:dyDescent="0.2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77"/>
    </row>
    <row r="542" spans="1:11" x14ac:dyDescent="0.2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77"/>
    </row>
    <row r="543" spans="1:11" x14ac:dyDescent="0.2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77"/>
    </row>
    <row r="544" spans="1:11" x14ac:dyDescent="0.2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77"/>
    </row>
    <row r="545" spans="1:11" x14ac:dyDescent="0.2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77"/>
    </row>
    <row r="546" spans="1:11" x14ac:dyDescent="0.2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77"/>
    </row>
    <row r="547" spans="1:11" x14ac:dyDescent="0.2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77"/>
    </row>
    <row r="548" spans="1:11" x14ac:dyDescent="0.2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77"/>
    </row>
    <row r="549" spans="1:11" x14ac:dyDescent="0.2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77"/>
    </row>
    <row r="550" spans="1:11" x14ac:dyDescent="0.2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77"/>
    </row>
    <row r="551" spans="1:11" x14ac:dyDescent="0.2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77"/>
    </row>
    <row r="552" spans="1:11" x14ac:dyDescent="0.2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77"/>
    </row>
    <row r="553" spans="1:11" x14ac:dyDescent="0.2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77"/>
    </row>
    <row r="554" spans="1:11" x14ac:dyDescent="0.2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77"/>
    </row>
    <row r="555" spans="1:11" x14ac:dyDescent="0.2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77"/>
    </row>
    <row r="556" spans="1:11" x14ac:dyDescent="0.2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77"/>
    </row>
    <row r="557" spans="1:11" x14ac:dyDescent="0.2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77"/>
    </row>
    <row r="558" spans="1:11" x14ac:dyDescent="0.2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77"/>
    </row>
    <row r="559" spans="1:11" x14ac:dyDescent="0.2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77"/>
    </row>
    <row r="560" spans="1:11" x14ac:dyDescent="0.2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77"/>
    </row>
    <row r="561" spans="1:11" x14ac:dyDescent="0.2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77"/>
    </row>
    <row r="562" spans="1:11" x14ac:dyDescent="0.2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77"/>
    </row>
    <row r="563" spans="1:11" x14ac:dyDescent="0.2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77"/>
    </row>
    <row r="564" spans="1:11" x14ac:dyDescent="0.2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77"/>
    </row>
    <row r="565" spans="1:11" x14ac:dyDescent="0.2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77"/>
    </row>
    <row r="566" spans="1:11" x14ac:dyDescent="0.2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77"/>
    </row>
    <row r="567" spans="1:11" x14ac:dyDescent="0.2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77"/>
    </row>
    <row r="568" spans="1:11" x14ac:dyDescent="0.2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77"/>
    </row>
    <row r="569" spans="1:11" x14ac:dyDescent="0.2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77"/>
    </row>
    <row r="570" spans="1:11" x14ac:dyDescent="0.2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77"/>
    </row>
    <row r="571" spans="1:11" x14ac:dyDescent="0.2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77"/>
    </row>
    <row r="572" spans="1:11" x14ac:dyDescent="0.2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77"/>
    </row>
    <row r="573" spans="1:11" x14ac:dyDescent="0.2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77"/>
    </row>
    <row r="574" spans="1:11" x14ac:dyDescent="0.2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77"/>
    </row>
    <row r="575" spans="1:11" x14ac:dyDescent="0.2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77"/>
    </row>
    <row r="576" spans="1:11" x14ac:dyDescent="0.2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77"/>
    </row>
    <row r="577" spans="1:11" x14ac:dyDescent="0.2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77"/>
    </row>
    <row r="578" spans="1:11" x14ac:dyDescent="0.2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77"/>
    </row>
    <row r="579" spans="1:11" x14ac:dyDescent="0.2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77"/>
    </row>
    <row r="580" spans="1:11" x14ac:dyDescent="0.2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77"/>
    </row>
    <row r="581" spans="1:11" x14ac:dyDescent="0.2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77"/>
    </row>
    <row r="582" spans="1:11" x14ac:dyDescent="0.2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77"/>
    </row>
    <row r="583" spans="1:11" x14ac:dyDescent="0.2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77"/>
    </row>
    <row r="584" spans="1:11" x14ac:dyDescent="0.2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77"/>
    </row>
    <row r="585" spans="1:11" x14ac:dyDescent="0.2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77"/>
    </row>
    <row r="586" spans="1:11" x14ac:dyDescent="0.2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77"/>
    </row>
    <row r="587" spans="1:11" x14ac:dyDescent="0.2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77"/>
    </row>
    <row r="588" spans="1:11" x14ac:dyDescent="0.2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77"/>
    </row>
    <row r="589" spans="1:11" x14ac:dyDescent="0.2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77"/>
    </row>
    <row r="590" spans="1:11" x14ac:dyDescent="0.2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77"/>
    </row>
    <row r="591" spans="1:11" x14ac:dyDescent="0.2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77"/>
    </row>
    <row r="592" spans="1:11" x14ac:dyDescent="0.2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77"/>
    </row>
    <row r="593" spans="1:11" x14ac:dyDescent="0.2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77"/>
    </row>
    <row r="594" spans="1:11" x14ac:dyDescent="0.2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77"/>
    </row>
    <row r="595" spans="1:11" x14ac:dyDescent="0.2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77"/>
    </row>
    <row r="596" spans="1:11" x14ac:dyDescent="0.2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77"/>
    </row>
    <row r="597" spans="1:11" x14ac:dyDescent="0.2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77"/>
    </row>
    <row r="598" spans="1:11" x14ac:dyDescent="0.2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77"/>
    </row>
    <row r="599" spans="1:11" x14ac:dyDescent="0.2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77"/>
    </row>
    <row r="600" spans="1:11" x14ac:dyDescent="0.2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77"/>
    </row>
    <row r="601" spans="1:11" x14ac:dyDescent="0.2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77"/>
    </row>
    <row r="602" spans="1:11" x14ac:dyDescent="0.2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77"/>
    </row>
    <row r="603" spans="1:11" x14ac:dyDescent="0.2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77"/>
    </row>
    <row r="604" spans="1:11" x14ac:dyDescent="0.2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77"/>
    </row>
    <row r="605" spans="1:11" x14ac:dyDescent="0.2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77"/>
    </row>
    <row r="606" spans="1:11" x14ac:dyDescent="0.2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77"/>
    </row>
    <row r="607" spans="1:11" x14ac:dyDescent="0.2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77"/>
    </row>
    <row r="608" spans="1:11" x14ac:dyDescent="0.2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77"/>
    </row>
    <row r="609" spans="1:11" x14ac:dyDescent="0.2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77"/>
    </row>
    <row r="610" spans="1:11" x14ac:dyDescent="0.2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77"/>
    </row>
    <row r="611" spans="1:11" x14ac:dyDescent="0.2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77"/>
    </row>
    <row r="612" spans="1:11" x14ac:dyDescent="0.2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77"/>
    </row>
    <row r="613" spans="1:11" x14ac:dyDescent="0.2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77"/>
    </row>
    <row r="614" spans="1:11" x14ac:dyDescent="0.2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77"/>
    </row>
    <row r="615" spans="1:11" x14ac:dyDescent="0.2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77"/>
    </row>
    <row r="616" spans="1:11" x14ac:dyDescent="0.2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77"/>
    </row>
    <row r="617" spans="1:11" x14ac:dyDescent="0.2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77"/>
    </row>
    <row r="618" spans="1:11" x14ac:dyDescent="0.2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77"/>
    </row>
    <row r="619" spans="1:11" x14ac:dyDescent="0.2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77"/>
    </row>
    <row r="620" spans="1:11" x14ac:dyDescent="0.2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77"/>
    </row>
    <row r="621" spans="1:11" x14ac:dyDescent="0.2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77"/>
    </row>
    <row r="622" spans="1:11" x14ac:dyDescent="0.2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77"/>
    </row>
    <row r="623" spans="1:11" x14ac:dyDescent="0.2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77"/>
    </row>
    <row r="624" spans="1:11" x14ac:dyDescent="0.2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77"/>
    </row>
    <row r="625" spans="1:11" x14ac:dyDescent="0.2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77"/>
    </row>
    <row r="626" spans="1:11" x14ac:dyDescent="0.2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77"/>
    </row>
    <row r="627" spans="1:11" x14ac:dyDescent="0.2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77"/>
    </row>
    <row r="628" spans="1:11" x14ac:dyDescent="0.2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77"/>
    </row>
    <row r="629" spans="1:11" x14ac:dyDescent="0.2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77"/>
    </row>
    <row r="630" spans="1:11" x14ac:dyDescent="0.2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77"/>
    </row>
    <row r="631" spans="1:11" x14ac:dyDescent="0.2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77"/>
    </row>
    <row r="632" spans="1:11" x14ac:dyDescent="0.2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77"/>
    </row>
    <row r="633" spans="1:11" x14ac:dyDescent="0.2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77"/>
    </row>
    <row r="634" spans="1:11" x14ac:dyDescent="0.2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77"/>
    </row>
    <row r="635" spans="1:11" x14ac:dyDescent="0.2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77"/>
    </row>
    <row r="636" spans="1:11" x14ac:dyDescent="0.2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77"/>
    </row>
    <row r="637" spans="1:11" x14ac:dyDescent="0.2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77"/>
    </row>
    <row r="638" spans="1:11" x14ac:dyDescent="0.2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77"/>
    </row>
    <row r="639" spans="1:11" x14ac:dyDescent="0.2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77"/>
    </row>
    <row r="640" spans="1:11" x14ac:dyDescent="0.2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77"/>
    </row>
    <row r="641" spans="1:11" x14ac:dyDescent="0.2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77"/>
    </row>
    <row r="642" spans="1:11" x14ac:dyDescent="0.2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77"/>
    </row>
    <row r="643" spans="1:11" x14ac:dyDescent="0.2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77"/>
    </row>
    <row r="644" spans="1:11" x14ac:dyDescent="0.2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77"/>
    </row>
    <row r="645" spans="1:11" x14ac:dyDescent="0.2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77"/>
    </row>
    <row r="646" spans="1:11" x14ac:dyDescent="0.2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77"/>
    </row>
    <row r="647" spans="1:11" x14ac:dyDescent="0.2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77"/>
    </row>
    <row r="648" spans="1:11" x14ac:dyDescent="0.2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77"/>
    </row>
    <row r="649" spans="1:11" x14ac:dyDescent="0.2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77"/>
    </row>
    <row r="650" spans="1:11" x14ac:dyDescent="0.2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77"/>
    </row>
    <row r="651" spans="1:11" x14ac:dyDescent="0.2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77"/>
    </row>
    <row r="652" spans="1:11" x14ac:dyDescent="0.2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77"/>
    </row>
    <row r="653" spans="1:11" x14ac:dyDescent="0.2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77"/>
    </row>
    <row r="654" spans="1:11" x14ac:dyDescent="0.2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77"/>
    </row>
    <row r="655" spans="1:11" x14ac:dyDescent="0.2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77"/>
    </row>
    <row r="656" spans="1:11" x14ac:dyDescent="0.2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77"/>
    </row>
    <row r="657" spans="1:11" x14ac:dyDescent="0.2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77"/>
    </row>
    <row r="658" spans="1:11" x14ac:dyDescent="0.2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77"/>
    </row>
    <row r="659" spans="1:11" x14ac:dyDescent="0.2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77"/>
    </row>
    <row r="660" spans="1:11" x14ac:dyDescent="0.2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77"/>
    </row>
    <row r="661" spans="1:11" x14ac:dyDescent="0.2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77"/>
    </row>
    <row r="662" spans="1:11" x14ac:dyDescent="0.2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77"/>
    </row>
    <row r="663" spans="1:11" x14ac:dyDescent="0.2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77"/>
    </row>
    <row r="664" spans="1:11" x14ac:dyDescent="0.2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77"/>
    </row>
    <row r="665" spans="1:11" x14ac:dyDescent="0.2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77"/>
    </row>
    <row r="666" spans="1:11" x14ac:dyDescent="0.2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77"/>
    </row>
    <row r="667" spans="1:11" x14ac:dyDescent="0.2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77"/>
    </row>
    <row r="668" spans="1:11" x14ac:dyDescent="0.2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77"/>
    </row>
    <row r="669" spans="1:11" x14ac:dyDescent="0.2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77"/>
    </row>
    <row r="670" spans="1:11" x14ac:dyDescent="0.2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77"/>
    </row>
    <row r="671" spans="1:11" x14ac:dyDescent="0.2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77"/>
    </row>
    <row r="672" spans="1:11" x14ac:dyDescent="0.2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77"/>
    </row>
    <row r="673" spans="1:11" x14ac:dyDescent="0.2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77"/>
    </row>
    <row r="674" spans="1:11" x14ac:dyDescent="0.2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77"/>
    </row>
    <row r="675" spans="1:11" x14ac:dyDescent="0.2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77"/>
    </row>
    <row r="676" spans="1:11" x14ac:dyDescent="0.2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77"/>
    </row>
    <row r="677" spans="1:11" x14ac:dyDescent="0.2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77"/>
    </row>
    <row r="678" spans="1:11" x14ac:dyDescent="0.2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77"/>
    </row>
    <row r="679" spans="1:11" x14ac:dyDescent="0.2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77"/>
    </row>
    <row r="680" spans="1:11" x14ac:dyDescent="0.2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77"/>
    </row>
    <row r="681" spans="1:11" x14ac:dyDescent="0.2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77"/>
    </row>
    <row r="682" spans="1:11" x14ac:dyDescent="0.2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77"/>
    </row>
    <row r="683" spans="1:11" x14ac:dyDescent="0.2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77"/>
    </row>
    <row r="684" spans="1:11" x14ac:dyDescent="0.2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77"/>
    </row>
    <row r="685" spans="1:11" x14ac:dyDescent="0.2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77"/>
    </row>
    <row r="686" spans="1:11" x14ac:dyDescent="0.2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77"/>
    </row>
    <row r="687" spans="1:11" x14ac:dyDescent="0.2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77"/>
    </row>
    <row r="688" spans="1:11" x14ac:dyDescent="0.2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77"/>
    </row>
  </sheetData>
  <mergeCells count="7">
    <mergeCell ref="A47:B47"/>
    <mergeCell ref="D1:E1"/>
    <mergeCell ref="A2:E2"/>
    <mergeCell ref="A3:F3"/>
    <mergeCell ref="A6:A7"/>
    <mergeCell ref="B6:D6"/>
    <mergeCell ref="E6:E14"/>
  </mergeCells>
  <printOptions horizontalCentered="1" verticalCentered="1"/>
  <pageMargins left="0.19685039370078741" right="0.19685039370078741" top="0" bottom="0.27559055118110237" header="0" footer="0.15748031496062992"/>
  <pageSetup paperSize="9" scale="83" firstPageNumber="0" orientation="portrait" horizontalDpi="300" verticalDpi="300" r:id="rId1"/>
  <headerFooter alignWithMargins="0">
    <oddHeader>&amp;CDunaharaszti Város Önkormányzat 2016. évi zárszámadás&amp;R&amp;A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21</vt:i4>
      </vt:variant>
    </vt:vector>
  </HeadingPairs>
  <TitlesOfParts>
    <vt:vector size="44" baseType="lpstr">
      <vt:lpstr>II. előlap</vt:lpstr>
      <vt:lpstr>13.a.sz.m.Maradvány - int</vt:lpstr>
      <vt:lpstr>13.b.sz.m.Maradványkim.-Önk</vt:lpstr>
      <vt:lpstr>13.c.sz.m.Kötött maradvány</vt:lpstr>
      <vt:lpstr>13.d.sz.m.Szabad maradvány</vt:lpstr>
      <vt:lpstr> 1.sz.tájék.Részesedések </vt:lpstr>
      <vt:lpstr>2.sz tájék Vagyonkimutatás</vt:lpstr>
      <vt:lpstr>3.sz.tájék. Többéves</vt:lpstr>
      <vt:lpstr>4.sz.tájék. Adósságszolgálat</vt:lpstr>
      <vt:lpstr>5.sz.tájék.pénzeszköz vált.</vt:lpstr>
      <vt:lpstr>6. sz tájék. Mérleg</vt:lpstr>
      <vt:lpstr> 7. sz tájék. Eredménykimutatás</vt:lpstr>
      <vt:lpstr>8.sz.tájék. Mérlegszerű</vt:lpstr>
      <vt:lpstr>9.sz.tájék. Hitelképesség</vt:lpstr>
      <vt:lpstr>10.sz.tájék.tábla Közvetett tám</vt:lpstr>
      <vt:lpstr>1.függ. Napsugár energ. fennt.</vt:lpstr>
      <vt:lpstr>2. függ.Mese fennt.</vt:lpstr>
      <vt:lpstr>3.függ.5 utca fennt.</vt:lpstr>
      <vt:lpstr>4.függ.18 utca fennt</vt:lpstr>
      <vt:lpstr>5.függ.Városközpont fennt.</vt:lpstr>
      <vt:lpstr>6.függ. Hétszín.energ.</vt:lpstr>
      <vt:lpstr>7.függ.Kőrösi energ.fenntart</vt:lpstr>
      <vt:lpstr>8.függ.Szivárvány fennt.</vt:lpstr>
      <vt:lpstr>' 7. sz tájék. Eredménykimutatás'!Nyomtatási_cím</vt:lpstr>
      <vt:lpstr>'2.sz tájék Vagyonkimutatás'!Nyomtatási_cím</vt:lpstr>
      <vt:lpstr>'3.sz.tájék. Többéves'!Nyomtatási_cím</vt:lpstr>
      <vt:lpstr>'5.függ.Városközpont fennt.'!Nyomtatási_cím</vt:lpstr>
      <vt:lpstr>'6. sz tájék. Mérleg'!Nyomtatási_cím</vt:lpstr>
      <vt:lpstr>'9.sz.tájék. Hitelképesség'!Nyomtatási_cím</vt:lpstr>
      <vt:lpstr>' 1.sz.tájék.Részesedések '!Nyomtatási_terület</vt:lpstr>
      <vt:lpstr>'1.függ. Napsugár energ. fennt.'!Nyomtatási_terület</vt:lpstr>
      <vt:lpstr>'10.sz.tájék.tábla Közvetett tám'!Nyomtatási_terület</vt:lpstr>
      <vt:lpstr>'13.b.sz.m.Maradványkim.-Önk'!Nyomtatási_terület</vt:lpstr>
      <vt:lpstr>'13.c.sz.m.Kötött maradvány'!Nyomtatási_terület</vt:lpstr>
      <vt:lpstr>'13.d.sz.m.Szabad maradvány'!Nyomtatási_terület</vt:lpstr>
      <vt:lpstr>'2.sz tájék Vagyonkimutatás'!Nyomtatási_terület</vt:lpstr>
      <vt:lpstr>'3.függ.5 utca fennt.'!Nyomtatási_terület</vt:lpstr>
      <vt:lpstr>'3.sz.tájék. Többéves'!Nyomtatási_terület</vt:lpstr>
      <vt:lpstr>'4.függ.18 utca fennt'!Nyomtatási_terület</vt:lpstr>
      <vt:lpstr>'4.sz.tájék. Adósságszolgálat'!Nyomtatási_terület</vt:lpstr>
      <vt:lpstr>'5.sz.tájék.pénzeszköz vált.'!Nyomtatási_terület</vt:lpstr>
      <vt:lpstr>'8.sz.tájék. Mérlegszerű'!Nyomtatási_terület</vt:lpstr>
      <vt:lpstr>'9.sz.tájék. Hitelképesség'!Nyomtatási_terület</vt:lpstr>
      <vt:lpstr>'II. előlap'!Nyomtatási_terület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gheni</dc:creator>
  <cp:lastModifiedBy>Gersetenbrein Erika</cp:lastModifiedBy>
  <cp:lastPrinted>2017-05-15T07:56:48Z</cp:lastPrinted>
  <dcterms:created xsi:type="dcterms:W3CDTF">2016-04-05T12:46:30Z</dcterms:created>
  <dcterms:modified xsi:type="dcterms:W3CDTF">2017-05-15T07:57:16Z</dcterms:modified>
</cp:coreProperties>
</file>